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415" windowHeight="9465"/>
  </bookViews>
  <sheets>
    <sheet name="CBR" sheetId="1" r:id="rId1"/>
    <sheet name="IMR-U5MR-SURINAME" sheetId="2" r:id="rId2"/>
    <sheet name="Sheet3" sheetId="3" state="hidden" r:id="rId3"/>
    <sheet name="IMR-U5MR-DISTRICTEN" sheetId="4" r:id="rId4"/>
  </sheets>
  <calcPr calcId="125725" concurrentCalc="0"/>
</workbook>
</file>

<file path=xl/calcChain.xml><?xml version="1.0" encoding="utf-8"?>
<calcChain xmlns="http://schemas.openxmlformats.org/spreadsheetml/2006/main">
  <c r="I89" i="4"/>
  <c r="C54"/>
  <c r="E54"/>
  <c r="K54"/>
  <c r="O143"/>
  <c r="U143"/>
  <c r="J14"/>
  <c r="P152"/>
  <c r="V152"/>
  <c r="O152"/>
  <c r="U152"/>
  <c r="J152"/>
  <c r="I152"/>
  <c r="E152"/>
  <c r="K152"/>
  <c r="P151"/>
  <c r="V151"/>
  <c r="O151"/>
  <c r="U151"/>
  <c r="J151"/>
  <c r="I151"/>
  <c r="E151"/>
  <c r="K151"/>
  <c r="P150"/>
  <c r="V150"/>
  <c r="O150"/>
  <c r="U150"/>
  <c r="J150"/>
  <c r="I150"/>
  <c r="E150"/>
  <c r="K150"/>
  <c r="P149"/>
  <c r="V149"/>
  <c r="O149"/>
  <c r="U149"/>
  <c r="J149"/>
  <c r="I149"/>
  <c r="E149"/>
  <c r="K149"/>
  <c r="P148"/>
  <c r="V148"/>
  <c r="O148"/>
  <c r="U148"/>
  <c r="J148"/>
  <c r="I148"/>
  <c r="E148"/>
  <c r="K148"/>
  <c r="P147"/>
  <c r="V147"/>
  <c r="O147"/>
  <c r="U147"/>
  <c r="J147"/>
  <c r="I147"/>
  <c r="E147"/>
  <c r="K147"/>
  <c r="P146"/>
  <c r="V146"/>
  <c r="O146"/>
  <c r="U146"/>
  <c r="J146"/>
  <c r="I146"/>
  <c r="E146"/>
  <c r="K146"/>
  <c r="O145"/>
  <c r="P145"/>
  <c r="Q145"/>
  <c r="W145"/>
  <c r="V145"/>
  <c r="U145"/>
  <c r="J145"/>
  <c r="I145"/>
  <c r="E145"/>
  <c r="K145"/>
  <c r="P144"/>
  <c r="V144"/>
  <c r="O144"/>
  <c r="U144"/>
  <c r="J144"/>
  <c r="I144"/>
  <c r="E144"/>
  <c r="K144"/>
  <c r="P143"/>
  <c r="V143"/>
  <c r="J143"/>
  <c r="I143"/>
  <c r="E143"/>
  <c r="K143"/>
  <c r="P137"/>
  <c r="V137"/>
  <c r="O137"/>
  <c r="U137"/>
  <c r="J137"/>
  <c r="I137"/>
  <c r="E137"/>
  <c r="K137"/>
  <c r="O136"/>
  <c r="P136"/>
  <c r="Q136"/>
  <c r="W136"/>
  <c r="V136"/>
  <c r="U136"/>
  <c r="J136"/>
  <c r="I136"/>
  <c r="E136"/>
  <c r="K136"/>
  <c r="P135"/>
  <c r="V135"/>
  <c r="O135"/>
  <c r="U135"/>
  <c r="J135"/>
  <c r="I135"/>
  <c r="E135"/>
  <c r="K135"/>
  <c r="P134"/>
  <c r="V134"/>
  <c r="O134"/>
  <c r="U134"/>
  <c r="J134"/>
  <c r="I134"/>
  <c r="E134"/>
  <c r="K134"/>
  <c r="P133"/>
  <c r="V133"/>
  <c r="O133"/>
  <c r="U133"/>
  <c r="J133"/>
  <c r="I133"/>
  <c r="E133"/>
  <c r="K133"/>
  <c r="P132"/>
  <c r="V132"/>
  <c r="O132"/>
  <c r="U132"/>
  <c r="J132"/>
  <c r="I132"/>
  <c r="E132"/>
  <c r="K132"/>
  <c r="P131"/>
  <c r="V131"/>
  <c r="O131"/>
  <c r="U131"/>
  <c r="J131"/>
  <c r="I131"/>
  <c r="E131"/>
  <c r="K131"/>
  <c r="P130"/>
  <c r="V130"/>
  <c r="O130"/>
  <c r="U130"/>
  <c r="J130"/>
  <c r="I130"/>
  <c r="E130"/>
  <c r="K130"/>
  <c r="P129"/>
  <c r="V129"/>
  <c r="O129"/>
  <c r="U129"/>
  <c r="J129"/>
  <c r="I129"/>
  <c r="E129"/>
  <c r="K129"/>
  <c r="O128"/>
  <c r="P128"/>
  <c r="Q128"/>
  <c r="W128"/>
  <c r="V128"/>
  <c r="U128"/>
  <c r="J128"/>
  <c r="I128"/>
  <c r="E128"/>
  <c r="K128"/>
  <c r="P122"/>
  <c r="V122"/>
  <c r="O122"/>
  <c r="U122"/>
  <c r="J122"/>
  <c r="I122"/>
  <c r="E122"/>
  <c r="K122"/>
  <c r="P121"/>
  <c r="V121"/>
  <c r="O121"/>
  <c r="U121"/>
  <c r="J121"/>
  <c r="I121"/>
  <c r="E121"/>
  <c r="K121"/>
  <c r="P120"/>
  <c r="V120"/>
  <c r="O120"/>
  <c r="U120"/>
  <c r="J120"/>
  <c r="I120"/>
  <c r="E120"/>
  <c r="K120"/>
  <c r="P119"/>
  <c r="V119"/>
  <c r="O119"/>
  <c r="U119"/>
  <c r="J119"/>
  <c r="I119"/>
  <c r="E119"/>
  <c r="K119"/>
  <c r="P118"/>
  <c r="V118"/>
  <c r="O118"/>
  <c r="U118"/>
  <c r="J118"/>
  <c r="I118"/>
  <c r="E118"/>
  <c r="K118"/>
  <c r="P117"/>
  <c r="V117"/>
  <c r="O117"/>
  <c r="U117"/>
  <c r="J117"/>
  <c r="I117"/>
  <c r="E117"/>
  <c r="K117"/>
  <c r="P116"/>
  <c r="V116"/>
  <c r="O116"/>
  <c r="U116"/>
  <c r="J116"/>
  <c r="I116"/>
  <c r="E116"/>
  <c r="K116"/>
  <c r="P115"/>
  <c r="V115"/>
  <c r="O115"/>
  <c r="U115"/>
  <c r="J115"/>
  <c r="I115"/>
  <c r="E115"/>
  <c r="K115"/>
  <c r="P114"/>
  <c r="V114"/>
  <c r="O114"/>
  <c r="U114"/>
  <c r="J114"/>
  <c r="I114"/>
  <c r="E114"/>
  <c r="K114"/>
  <c r="P113"/>
  <c r="V113"/>
  <c r="O113"/>
  <c r="U113"/>
  <c r="J113"/>
  <c r="I113"/>
  <c r="E113"/>
  <c r="K113"/>
  <c r="P107"/>
  <c r="V107"/>
  <c r="O107"/>
  <c r="U107"/>
  <c r="J107"/>
  <c r="I107"/>
  <c r="E107"/>
  <c r="K107"/>
  <c r="P106"/>
  <c r="V106"/>
  <c r="O106"/>
  <c r="U106"/>
  <c r="J106"/>
  <c r="I106"/>
  <c r="E106"/>
  <c r="K106"/>
  <c r="P105"/>
  <c r="V105"/>
  <c r="O105"/>
  <c r="U105"/>
  <c r="J105"/>
  <c r="I105"/>
  <c r="E105"/>
  <c r="K105"/>
  <c r="P104"/>
  <c r="V104"/>
  <c r="O104"/>
  <c r="U104"/>
  <c r="J104"/>
  <c r="I104"/>
  <c r="E104"/>
  <c r="K104"/>
  <c r="P103"/>
  <c r="V103"/>
  <c r="O103"/>
  <c r="U103"/>
  <c r="J103"/>
  <c r="I103"/>
  <c r="E103"/>
  <c r="K103"/>
  <c r="O102"/>
  <c r="P102"/>
  <c r="Q102"/>
  <c r="W102"/>
  <c r="V102"/>
  <c r="U102"/>
  <c r="J102"/>
  <c r="I102"/>
  <c r="E102"/>
  <c r="K102"/>
  <c r="P101"/>
  <c r="V101"/>
  <c r="O101"/>
  <c r="U101"/>
  <c r="J101"/>
  <c r="I101"/>
  <c r="E101"/>
  <c r="K101"/>
  <c r="P100"/>
  <c r="V100"/>
  <c r="O100"/>
  <c r="U100"/>
  <c r="J100"/>
  <c r="I100"/>
  <c r="E100"/>
  <c r="K100"/>
  <c r="P99"/>
  <c r="V99"/>
  <c r="O99"/>
  <c r="U99"/>
  <c r="J99"/>
  <c r="I99"/>
  <c r="E99"/>
  <c r="K99"/>
  <c r="P98"/>
  <c r="V98"/>
  <c r="O98"/>
  <c r="U98"/>
  <c r="J98"/>
  <c r="I98"/>
  <c r="E98"/>
  <c r="K98"/>
  <c r="P92"/>
  <c r="V92"/>
  <c r="O92"/>
  <c r="U92"/>
  <c r="J92"/>
  <c r="I92"/>
  <c r="E92"/>
  <c r="K92"/>
  <c r="P91"/>
  <c r="V91"/>
  <c r="O91"/>
  <c r="U91"/>
  <c r="J91"/>
  <c r="I91"/>
  <c r="E91"/>
  <c r="K91"/>
  <c r="P90"/>
  <c r="V90"/>
  <c r="O90"/>
  <c r="U90"/>
  <c r="J90"/>
  <c r="I90"/>
  <c r="E90"/>
  <c r="K90"/>
  <c r="P89"/>
  <c r="V89"/>
  <c r="O89"/>
  <c r="U89"/>
  <c r="J89"/>
  <c r="E89"/>
  <c r="K89"/>
  <c r="P88"/>
  <c r="V88"/>
  <c r="O88"/>
  <c r="U88"/>
  <c r="J88"/>
  <c r="I88"/>
  <c r="E88"/>
  <c r="K88"/>
  <c r="P87"/>
  <c r="V87"/>
  <c r="O87"/>
  <c r="U87"/>
  <c r="J87"/>
  <c r="I87"/>
  <c r="E87"/>
  <c r="K87"/>
  <c r="P86"/>
  <c r="V86"/>
  <c r="O86"/>
  <c r="U86"/>
  <c r="J86"/>
  <c r="I86"/>
  <c r="E86"/>
  <c r="K86"/>
  <c r="P85"/>
  <c r="V85"/>
  <c r="O85"/>
  <c r="U85"/>
  <c r="J85"/>
  <c r="I85"/>
  <c r="E85"/>
  <c r="K85"/>
  <c r="P84"/>
  <c r="V84"/>
  <c r="O84"/>
  <c r="U84"/>
  <c r="J84"/>
  <c r="I84"/>
  <c r="E84"/>
  <c r="K84"/>
  <c r="P83"/>
  <c r="V83"/>
  <c r="O83"/>
  <c r="U83"/>
  <c r="J83"/>
  <c r="I83"/>
  <c r="E83"/>
  <c r="K83"/>
  <c r="P77"/>
  <c r="O77"/>
  <c r="Q77"/>
  <c r="W77"/>
  <c r="U77"/>
  <c r="J77"/>
  <c r="I77"/>
  <c r="E77"/>
  <c r="K77"/>
  <c r="P76"/>
  <c r="V76"/>
  <c r="O76"/>
  <c r="U76"/>
  <c r="J76"/>
  <c r="I76"/>
  <c r="E76"/>
  <c r="K76"/>
  <c r="P75"/>
  <c r="V75"/>
  <c r="O75"/>
  <c r="U75"/>
  <c r="J75"/>
  <c r="I75"/>
  <c r="E75"/>
  <c r="K75"/>
  <c r="P74"/>
  <c r="V74"/>
  <c r="O74"/>
  <c r="U74"/>
  <c r="J74"/>
  <c r="I74"/>
  <c r="E74"/>
  <c r="K74"/>
  <c r="P73"/>
  <c r="V73"/>
  <c r="O73"/>
  <c r="U73"/>
  <c r="J73"/>
  <c r="I73"/>
  <c r="E73"/>
  <c r="K73"/>
  <c r="P72"/>
  <c r="V72"/>
  <c r="O72"/>
  <c r="U72"/>
  <c r="J72"/>
  <c r="I72"/>
  <c r="E72"/>
  <c r="K72"/>
  <c r="P71"/>
  <c r="V71"/>
  <c r="O71"/>
  <c r="U71"/>
  <c r="J71"/>
  <c r="I71"/>
  <c r="E71"/>
  <c r="K71"/>
  <c r="P70"/>
  <c r="V70"/>
  <c r="O70"/>
  <c r="U70"/>
  <c r="J70"/>
  <c r="I70"/>
  <c r="E70"/>
  <c r="K70"/>
  <c r="P69"/>
  <c r="V69"/>
  <c r="O69"/>
  <c r="U69"/>
  <c r="J69"/>
  <c r="C69"/>
  <c r="E69"/>
  <c r="K69"/>
  <c r="P68"/>
  <c r="V68"/>
  <c r="O68"/>
  <c r="U68"/>
  <c r="J68"/>
  <c r="I68"/>
  <c r="E68"/>
  <c r="K68"/>
  <c r="P62"/>
  <c r="V62"/>
  <c r="O62"/>
  <c r="U62"/>
  <c r="J62"/>
  <c r="I62"/>
  <c r="E62"/>
  <c r="K62"/>
  <c r="P61"/>
  <c r="V61"/>
  <c r="O61"/>
  <c r="U61"/>
  <c r="J61"/>
  <c r="I61"/>
  <c r="E61"/>
  <c r="K61"/>
  <c r="P60"/>
  <c r="V60"/>
  <c r="O60"/>
  <c r="U60"/>
  <c r="J60"/>
  <c r="I60"/>
  <c r="E60"/>
  <c r="K60"/>
  <c r="P59"/>
  <c r="V59"/>
  <c r="O59"/>
  <c r="U59"/>
  <c r="J59"/>
  <c r="I59"/>
  <c r="E59"/>
  <c r="K59"/>
  <c r="P58"/>
  <c r="V58"/>
  <c r="O58"/>
  <c r="U58"/>
  <c r="J58"/>
  <c r="I58"/>
  <c r="E58"/>
  <c r="K58"/>
  <c r="P57"/>
  <c r="V57"/>
  <c r="O57"/>
  <c r="U57"/>
  <c r="J57"/>
  <c r="I57"/>
  <c r="E57"/>
  <c r="K57"/>
  <c r="P56"/>
  <c r="V56"/>
  <c r="O56"/>
  <c r="U56"/>
  <c r="J56"/>
  <c r="I56"/>
  <c r="E56"/>
  <c r="K56"/>
  <c r="P55"/>
  <c r="V55"/>
  <c r="O55"/>
  <c r="U55"/>
  <c r="J55"/>
  <c r="I55"/>
  <c r="E55"/>
  <c r="K55"/>
  <c r="P54"/>
  <c r="V54"/>
  <c r="O54"/>
  <c r="U54"/>
  <c r="J54"/>
  <c r="I54"/>
  <c r="P53"/>
  <c r="V53"/>
  <c r="O53"/>
  <c r="J53"/>
  <c r="I53"/>
  <c r="E53"/>
  <c r="K53"/>
  <c r="P47"/>
  <c r="V47"/>
  <c r="O47"/>
  <c r="J47"/>
  <c r="I47"/>
  <c r="E47"/>
  <c r="K47"/>
  <c r="P46"/>
  <c r="V46"/>
  <c r="O46"/>
  <c r="U46"/>
  <c r="J46"/>
  <c r="I46"/>
  <c r="E46"/>
  <c r="K46"/>
  <c r="P45"/>
  <c r="V45"/>
  <c r="O45"/>
  <c r="U45"/>
  <c r="J45"/>
  <c r="I45"/>
  <c r="E45"/>
  <c r="K45"/>
  <c r="P44"/>
  <c r="V44"/>
  <c r="O44"/>
  <c r="J44"/>
  <c r="I44"/>
  <c r="E44"/>
  <c r="K44"/>
  <c r="P43"/>
  <c r="V43"/>
  <c r="O43"/>
  <c r="U43"/>
  <c r="J43"/>
  <c r="I43"/>
  <c r="E43"/>
  <c r="K43"/>
  <c r="P42"/>
  <c r="V42"/>
  <c r="O42"/>
  <c r="U42"/>
  <c r="J42"/>
  <c r="I42"/>
  <c r="E42"/>
  <c r="K42"/>
  <c r="P41"/>
  <c r="V41"/>
  <c r="O41"/>
  <c r="J41"/>
  <c r="I41"/>
  <c r="E41"/>
  <c r="K41"/>
  <c r="P40"/>
  <c r="V40"/>
  <c r="O40"/>
  <c r="U40"/>
  <c r="J40"/>
  <c r="I40"/>
  <c r="E40"/>
  <c r="K40"/>
  <c r="P39"/>
  <c r="V39"/>
  <c r="O39"/>
  <c r="U39"/>
  <c r="J39"/>
  <c r="I39"/>
  <c r="E39"/>
  <c r="K39"/>
  <c r="P38"/>
  <c r="V38"/>
  <c r="O38"/>
  <c r="U38"/>
  <c r="J38"/>
  <c r="I38"/>
  <c r="E38"/>
  <c r="K38"/>
  <c r="P32"/>
  <c r="V32"/>
  <c r="O32"/>
  <c r="J32"/>
  <c r="I32"/>
  <c r="E32"/>
  <c r="K32"/>
  <c r="P31"/>
  <c r="V31"/>
  <c r="O31"/>
  <c r="U31"/>
  <c r="J31"/>
  <c r="I31"/>
  <c r="E31"/>
  <c r="K31"/>
  <c r="P30"/>
  <c r="V30"/>
  <c r="O30"/>
  <c r="U30"/>
  <c r="J30"/>
  <c r="I30"/>
  <c r="E30"/>
  <c r="K30"/>
  <c r="P29"/>
  <c r="V29"/>
  <c r="O29"/>
  <c r="J29"/>
  <c r="I29"/>
  <c r="E29"/>
  <c r="K29"/>
  <c r="P28"/>
  <c r="V28"/>
  <c r="O28"/>
  <c r="U28"/>
  <c r="J28"/>
  <c r="I28"/>
  <c r="E28"/>
  <c r="K28"/>
  <c r="P27"/>
  <c r="V27"/>
  <c r="O27"/>
  <c r="J27"/>
  <c r="I27"/>
  <c r="E27"/>
  <c r="K27"/>
  <c r="P26"/>
  <c r="V26"/>
  <c r="O26"/>
  <c r="J26"/>
  <c r="I26"/>
  <c r="E26"/>
  <c r="K26"/>
  <c r="O25"/>
  <c r="U25"/>
  <c r="P25"/>
  <c r="V25"/>
  <c r="J25"/>
  <c r="I25"/>
  <c r="E25"/>
  <c r="K25"/>
  <c r="P24"/>
  <c r="V24"/>
  <c r="O24"/>
  <c r="U24"/>
  <c r="J24"/>
  <c r="I24"/>
  <c r="E24"/>
  <c r="K24"/>
  <c r="P23"/>
  <c r="V23"/>
  <c r="O23"/>
  <c r="U23"/>
  <c r="J23"/>
  <c r="I23"/>
  <c r="E23"/>
  <c r="K23"/>
  <c r="P17"/>
  <c r="V17"/>
  <c r="O17"/>
  <c r="U17"/>
  <c r="J17"/>
  <c r="I17"/>
  <c r="E17"/>
  <c r="K17"/>
  <c r="P16"/>
  <c r="V16"/>
  <c r="O16"/>
  <c r="U16"/>
  <c r="J16"/>
  <c r="I16"/>
  <c r="E16"/>
  <c r="P15"/>
  <c r="V15"/>
  <c r="O15"/>
  <c r="U15"/>
  <c r="J15"/>
  <c r="I15"/>
  <c r="E15"/>
  <c r="K15"/>
  <c r="P14"/>
  <c r="V14"/>
  <c r="O14"/>
  <c r="U14"/>
  <c r="I14"/>
  <c r="E14"/>
  <c r="K14"/>
  <c r="P13"/>
  <c r="V13"/>
  <c r="O13"/>
  <c r="U13"/>
  <c r="J13"/>
  <c r="I13"/>
  <c r="E13"/>
  <c r="P12"/>
  <c r="V12"/>
  <c r="O12"/>
  <c r="U12"/>
  <c r="J12"/>
  <c r="I12"/>
  <c r="E12"/>
  <c r="P11"/>
  <c r="V11"/>
  <c r="O11"/>
  <c r="U11"/>
  <c r="J11"/>
  <c r="I11"/>
  <c r="E11"/>
  <c r="K11"/>
  <c r="P10"/>
  <c r="V10"/>
  <c r="O10"/>
  <c r="U10"/>
  <c r="J10"/>
  <c r="I10"/>
  <c r="E10"/>
  <c r="K10"/>
  <c r="P9"/>
  <c r="V9"/>
  <c r="O9"/>
  <c r="U9"/>
  <c r="J9"/>
  <c r="I9"/>
  <c r="E9"/>
  <c r="P8"/>
  <c r="V8"/>
  <c r="O8"/>
  <c r="U8"/>
  <c r="J8"/>
  <c r="I8"/>
  <c r="E8"/>
  <c r="S14" i="2"/>
  <c r="O14"/>
  <c r="U14"/>
  <c r="N14"/>
  <c r="P14"/>
  <c r="V14"/>
  <c r="I14"/>
  <c r="H14"/>
  <c r="G14"/>
  <c r="D14"/>
  <c r="J14"/>
  <c r="S13"/>
  <c r="O13"/>
  <c r="U13"/>
  <c r="N13"/>
  <c r="P13"/>
  <c r="V13"/>
  <c r="I13"/>
  <c r="H13"/>
  <c r="G13"/>
  <c r="D13"/>
  <c r="J13"/>
  <c r="S12"/>
  <c r="O12"/>
  <c r="U12"/>
  <c r="N12"/>
  <c r="P12"/>
  <c r="V12"/>
  <c r="I12"/>
  <c r="H12"/>
  <c r="G12"/>
  <c r="D12"/>
  <c r="J12"/>
  <c r="S11"/>
  <c r="O11"/>
  <c r="U11"/>
  <c r="N11"/>
  <c r="P11"/>
  <c r="V11"/>
  <c r="I11"/>
  <c r="H11"/>
  <c r="G11"/>
  <c r="D11"/>
  <c r="J11"/>
  <c r="S10"/>
  <c r="O10"/>
  <c r="U10"/>
  <c r="N10"/>
  <c r="P10"/>
  <c r="V10"/>
  <c r="I10"/>
  <c r="H10"/>
  <c r="G10"/>
  <c r="D10"/>
  <c r="J10"/>
  <c r="S9"/>
  <c r="O9"/>
  <c r="U9"/>
  <c r="N9"/>
  <c r="P9"/>
  <c r="V9"/>
  <c r="I9"/>
  <c r="H9"/>
  <c r="G9"/>
  <c r="D9"/>
  <c r="J9"/>
  <c r="S8"/>
  <c r="O8"/>
  <c r="U8"/>
  <c r="N8"/>
  <c r="P8"/>
  <c r="V8"/>
  <c r="I8"/>
  <c r="H8"/>
  <c r="G8"/>
  <c r="D8"/>
  <c r="J8"/>
  <c r="S7"/>
  <c r="O7"/>
  <c r="U7"/>
  <c r="N7"/>
  <c r="P7"/>
  <c r="V7"/>
  <c r="I7"/>
  <c r="H7"/>
  <c r="G7"/>
  <c r="D7"/>
  <c r="J7"/>
  <c r="S6"/>
  <c r="O6"/>
  <c r="U6"/>
  <c r="N6"/>
  <c r="P6"/>
  <c r="V6"/>
  <c r="I6"/>
  <c r="H6"/>
  <c r="G6"/>
  <c r="D6"/>
  <c r="J6"/>
  <c r="S5"/>
  <c r="O5"/>
  <c r="U5"/>
  <c r="N5"/>
  <c r="P5"/>
  <c r="V5"/>
  <c r="I5"/>
  <c r="H5"/>
  <c r="G5"/>
  <c r="D5"/>
  <c r="J5"/>
  <c r="Q56" i="4"/>
  <c r="W56"/>
  <c r="Q75"/>
  <c r="W75"/>
  <c r="V77"/>
  <c r="Q88"/>
  <c r="W88"/>
  <c r="Q90"/>
  <c r="W90"/>
  <c r="Q98"/>
  <c r="W98"/>
  <c r="Q115"/>
  <c r="W115"/>
  <c r="Q58"/>
  <c r="W58"/>
  <c r="Q84"/>
  <c r="W84"/>
  <c r="Q100"/>
  <c r="W100"/>
  <c r="Q121"/>
  <c r="W121"/>
  <c r="Q147"/>
  <c r="W147"/>
  <c r="Q69"/>
  <c r="W69"/>
  <c r="Q113"/>
  <c r="W113"/>
  <c r="Q134"/>
  <c r="W134"/>
  <c r="Q32"/>
  <c r="W32"/>
  <c r="Q44"/>
  <c r="W44"/>
  <c r="Q60"/>
  <c r="W60"/>
  <c r="Q71"/>
  <c r="W71"/>
  <c r="Q104"/>
  <c r="W104"/>
  <c r="Q117"/>
  <c r="W117"/>
  <c r="Q130"/>
  <c r="W130"/>
  <c r="Q149"/>
  <c r="W149"/>
  <c r="Q54"/>
  <c r="W54"/>
  <c r="Q62"/>
  <c r="W62"/>
  <c r="Q73"/>
  <c r="W73"/>
  <c r="Q85"/>
  <c r="W85"/>
  <c r="Q87"/>
  <c r="W87"/>
  <c r="Q106"/>
  <c r="W106"/>
  <c r="Q119"/>
  <c r="W119"/>
  <c r="Q132"/>
  <c r="W132"/>
  <c r="Q143"/>
  <c r="W143"/>
  <c r="Q151"/>
  <c r="W151"/>
  <c r="Q26"/>
  <c r="W26"/>
  <c r="Q29"/>
  <c r="W29"/>
  <c r="Q47"/>
  <c r="W47"/>
  <c r="Q25"/>
  <c r="W25"/>
  <c r="U26"/>
  <c r="Q27"/>
  <c r="W27"/>
  <c r="U29"/>
  <c r="Q30"/>
  <c r="W30"/>
  <c r="Q41"/>
  <c r="W41"/>
  <c r="U47"/>
  <c r="Q53"/>
  <c r="W53"/>
  <c r="Q70"/>
  <c r="W70"/>
  <c r="Q72"/>
  <c r="W72"/>
  <c r="Q74"/>
  <c r="W74"/>
  <c r="Q76"/>
  <c r="W76"/>
  <c r="Q92"/>
  <c r="W92"/>
  <c r="Q39"/>
  <c r="W39"/>
  <c r="Q55"/>
  <c r="W55"/>
  <c r="Q57"/>
  <c r="W57"/>
  <c r="Q59"/>
  <c r="W59"/>
  <c r="Q61"/>
  <c r="W61"/>
  <c r="Q68"/>
  <c r="W68"/>
  <c r="Q83"/>
  <c r="W83"/>
  <c r="Q86"/>
  <c r="W86"/>
  <c r="Q89"/>
  <c r="W89"/>
  <c r="Q91"/>
  <c r="W91"/>
  <c r="Q99"/>
  <c r="W99"/>
  <c r="Q101"/>
  <c r="W101"/>
  <c r="Q103"/>
  <c r="W103"/>
  <c r="Q105"/>
  <c r="W105"/>
  <c r="Q107"/>
  <c r="W107"/>
  <c r="Q114"/>
  <c r="W114"/>
  <c r="Q116"/>
  <c r="W116"/>
  <c r="Q118"/>
  <c r="W118"/>
  <c r="Q120"/>
  <c r="W120"/>
  <c r="Q122"/>
  <c r="W122"/>
  <c r="Q129"/>
  <c r="W129"/>
  <c r="Q131"/>
  <c r="W131"/>
  <c r="Q133"/>
  <c r="W133"/>
  <c r="Q135"/>
  <c r="W135"/>
  <c r="Q137"/>
  <c r="W137"/>
  <c r="Q144"/>
  <c r="W144"/>
  <c r="Q146"/>
  <c r="W146"/>
  <c r="Q148"/>
  <c r="W148"/>
  <c r="Q150"/>
  <c r="W150"/>
  <c r="Q152"/>
  <c r="W152"/>
  <c r="K8"/>
  <c r="K12"/>
  <c r="K16"/>
  <c r="K9"/>
  <c r="K13"/>
  <c r="U27"/>
  <c r="U32"/>
  <c r="U41"/>
  <c r="U44"/>
  <c r="U53"/>
  <c r="I69"/>
  <c r="Q8"/>
  <c r="W8"/>
  <c r="Q9"/>
  <c r="W9"/>
  <c r="Q10"/>
  <c r="W10"/>
  <c r="Q11"/>
  <c r="W11"/>
  <c r="Q12"/>
  <c r="W12"/>
  <c r="Q13"/>
  <c r="W13"/>
  <c r="Q14"/>
  <c r="W14"/>
  <c r="Q15"/>
  <c r="W15"/>
  <c r="Q16"/>
  <c r="W16"/>
  <c r="Q17"/>
  <c r="W17"/>
  <c r="Q23"/>
  <c r="W23"/>
  <c r="Q24"/>
  <c r="W24"/>
  <c r="Q28"/>
  <c r="W28"/>
  <c r="Q31"/>
  <c r="W31"/>
  <c r="Q38"/>
  <c r="W38"/>
  <c r="Q40"/>
  <c r="W40"/>
  <c r="Q42"/>
  <c r="W42"/>
  <c r="Q43"/>
  <c r="W43"/>
  <c r="Q45"/>
  <c r="W45"/>
  <c r="Q46"/>
  <c r="W46"/>
  <c r="T5" i="2"/>
  <c r="T6"/>
  <c r="T7"/>
  <c r="T8"/>
  <c r="T9"/>
  <c r="T10"/>
  <c r="T11"/>
  <c r="T12"/>
  <c r="T13"/>
  <c r="T14"/>
  <c r="J14" i="1"/>
  <c r="J15"/>
  <c r="J16"/>
  <c r="J17"/>
  <c r="J18"/>
  <c r="J19"/>
  <c r="J20"/>
  <c r="J21"/>
  <c r="J22"/>
  <c r="J13"/>
  <c r="E14"/>
  <c r="E15"/>
  <c r="E16"/>
  <c r="E17"/>
  <c r="E18"/>
  <c r="E19"/>
  <c r="E20"/>
  <c r="E21"/>
  <c r="E22"/>
  <c r="E13"/>
</calcChain>
</file>

<file path=xl/sharedStrings.xml><?xml version="1.0" encoding="utf-8"?>
<sst xmlns="http://schemas.openxmlformats.org/spreadsheetml/2006/main" count="379" uniqueCount="44">
  <si>
    <t>Year</t>
  </si>
  <si>
    <t>2007</t>
  </si>
  <si>
    <t>2008</t>
  </si>
  <si>
    <t>2009</t>
  </si>
  <si>
    <t>2010</t>
  </si>
  <si>
    <t>2011</t>
  </si>
  <si>
    <t>2012</t>
  </si>
  <si>
    <t>Births</t>
  </si>
  <si>
    <t>Midyear population</t>
  </si>
  <si>
    <t>Suriname</t>
  </si>
  <si>
    <t xml:space="preserve">Crude Birth Rate </t>
  </si>
  <si>
    <t>District</t>
  </si>
  <si>
    <t>Paramaribo</t>
  </si>
  <si>
    <t>Wanica</t>
  </si>
  <si>
    <t>Nickerie</t>
  </si>
  <si>
    <t>Coronie</t>
  </si>
  <si>
    <t>Saramacca</t>
  </si>
  <si>
    <t>Para</t>
  </si>
  <si>
    <t>Commewijne</t>
  </si>
  <si>
    <t>Marowijne</t>
  </si>
  <si>
    <t>Brokopondo</t>
  </si>
  <si>
    <t>Sipaliwini</t>
  </si>
  <si>
    <t>Population</t>
  </si>
  <si>
    <t>CBR</t>
  </si>
  <si>
    <t>CRUDE BIRTH RATE</t>
  </si>
  <si>
    <t>Jaar</t>
  </si>
  <si>
    <t>Deaths</t>
  </si>
  <si>
    <t>Infant Deaths</t>
  </si>
  <si>
    <t>man</t>
  </si>
  <si>
    <t>vrouw</t>
  </si>
  <si>
    <t>totaal</t>
  </si>
  <si>
    <t>Totaal</t>
  </si>
  <si>
    <t>UNDER 5 MORTALITY RATE-SURINAME</t>
  </si>
  <si>
    <t>INFANT MORTALITY RATE-SURINAME</t>
  </si>
  <si>
    <t>IMR</t>
  </si>
  <si>
    <t>under 5 MR</t>
  </si>
  <si>
    <t>2004*</t>
  </si>
  <si>
    <t>2012*</t>
  </si>
  <si>
    <t>*Geboorten welke plaats hebben gehad in het buitenland zijn buiten beschouwing gelaten</t>
  </si>
  <si>
    <t>Noot:</t>
  </si>
  <si>
    <t>Bij de districtscijfers zijn geboorten en sterften buiten Suriname buiten beschouwing gelaten</t>
  </si>
  <si>
    <t>Note:</t>
  </si>
  <si>
    <t>In the figures at District level, Births and Deaths outside of Suriname are excluded</t>
  </si>
  <si>
    <t>* Births outside of Suriname have been excluded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</si>
</sst>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0" fontId="2" fillId="0" borderId="4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164" fontId="4" fillId="0" borderId="1" xfId="1" applyNumberFormat="1" applyFont="1" applyBorder="1"/>
    <xf numFmtId="0" fontId="4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Border="1"/>
    <xf numFmtId="0" fontId="2" fillId="0" borderId="2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0" fillId="0" borderId="1" xfId="0" applyFill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/>
    <xf numFmtId="0" fontId="2" fillId="0" borderId="12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" xfId="0" applyFont="1" applyFill="1" applyBorder="1"/>
    <xf numFmtId="0" fontId="7" fillId="0" borderId="1" xfId="0" applyFont="1" applyFill="1" applyBorder="1"/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B27" sqref="B27"/>
    </sheetView>
  </sheetViews>
  <sheetFormatPr defaultRowHeight="15.75"/>
  <cols>
    <col min="1" max="1" width="9.140625" style="6"/>
    <col min="2" max="2" width="23.7109375" style="6" bestFit="1" customWidth="1"/>
    <col min="3" max="3" width="9.140625" style="6"/>
    <col min="4" max="4" width="11.5703125" style="6" bestFit="1" customWidth="1"/>
    <col min="5" max="6" width="9.140625" style="6"/>
    <col min="7" max="7" width="12.85546875" style="6" bestFit="1" customWidth="1"/>
    <col min="8" max="8" width="9.140625" style="6"/>
    <col min="9" max="9" width="11.5703125" style="6" bestFit="1" customWidth="1"/>
    <col min="10" max="11" width="9.140625" style="6"/>
    <col min="12" max="12" width="11.5703125" style="6" bestFit="1" customWidth="1"/>
    <col min="13" max="16384" width="9.140625" style="6"/>
  </cols>
  <sheetData>
    <row r="1" spans="1:12">
      <c r="A1" s="48" t="s">
        <v>24</v>
      </c>
      <c r="B1" s="48"/>
    </row>
    <row r="3" spans="1:12">
      <c r="B3" s="46" t="s">
        <v>9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7">
        <v>2013</v>
      </c>
      <c r="J5" s="7">
        <v>2014</v>
      </c>
      <c r="K5" s="7">
        <v>2015</v>
      </c>
      <c r="L5" s="7">
        <v>2016</v>
      </c>
    </row>
    <row r="6" spans="1:12">
      <c r="B6" s="9" t="s">
        <v>7</v>
      </c>
      <c r="C6" s="10">
        <v>9769</v>
      </c>
      <c r="D6" s="10">
        <v>10097</v>
      </c>
      <c r="E6" s="10">
        <v>9792</v>
      </c>
      <c r="F6" s="10">
        <v>9712</v>
      </c>
      <c r="G6" s="10">
        <v>9703</v>
      </c>
      <c r="H6" s="10">
        <v>10217</v>
      </c>
      <c r="I6" s="10">
        <v>10012</v>
      </c>
      <c r="J6" s="10">
        <v>10407</v>
      </c>
      <c r="K6" s="10">
        <v>10148</v>
      </c>
      <c r="L6" s="9">
        <v>9910</v>
      </c>
    </row>
    <row r="7" spans="1:12">
      <c r="B7" s="53" t="s">
        <v>8</v>
      </c>
      <c r="C7" s="11">
        <v>509970</v>
      </c>
      <c r="D7" s="11">
        <v>517052</v>
      </c>
      <c r="E7" s="11">
        <v>524143</v>
      </c>
      <c r="F7" s="11">
        <v>531170</v>
      </c>
      <c r="G7" s="11">
        <v>539910</v>
      </c>
      <c r="H7" s="11">
        <v>541638</v>
      </c>
      <c r="I7" s="11">
        <v>550222</v>
      </c>
      <c r="J7" s="11">
        <v>558773</v>
      </c>
      <c r="K7" s="11">
        <v>567291</v>
      </c>
      <c r="L7" s="12">
        <v>575763</v>
      </c>
    </row>
    <row r="8" spans="1:12">
      <c r="B8" s="54" t="s">
        <v>10</v>
      </c>
      <c r="C8" s="13">
        <v>19.156028786007017</v>
      </c>
      <c r="D8" s="13">
        <v>19.528016524450152</v>
      </c>
      <c r="E8" s="13">
        <v>18.68192458928193</v>
      </c>
      <c r="F8" s="13">
        <v>18.284165144868876</v>
      </c>
      <c r="G8" s="13">
        <v>17.971513770813655</v>
      </c>
      <c r="H8" s="13">
        <v>18.863152142205678</v>
      </c>
      <c r="I8" s="13">
        <v>18.196291678631532</v>
      </c>
      <c r="J8" s="13">
        <v>18.624736699876337</v>
      </c>
      <c r="K8" s="13">
        <v>17.888526347148115</v>
      </c>
      <c r="L8" s="14">
        <v>17.211939999999998</v>
      </c>
    </row>
    <row r="11" spans="1:12">
      <c r="B11" s="47" t="s">
        <v>36</v>
      </c>
      <c r="C11" s="47"/>
      <c r="D11" s="47"/>
      <c r="E11" s="47"/>
      <c r="G11" s="47" t="s">
        <v>37</v>
      </c>
      <c r="H11" s="47"/>
      <c r="I11" s="47"/>
      <c r="J11" s="47"/>
    </row>
    <row r="12" spans="1:12">
      <c r="B12" s="7" t="s">
        <v>11</v>
      </c>
      <c r="C12" s="15" t="s">
        <v>7</v>
      </c>
      <c r="D12" s="15" t="s">
        <v>22</v>
      </c>
      <c r="E12" s="15" t="s">
        <v>23</v>
      </c>
      <c r="G12" s="7" t="s">
        <v>11</v>
      </c>
      <c r="H12" s="15" t="s">
        <v>7</v>
      </c>
      <c r="I12" s="15" t="s">
        <v>22</v>
      </c>
      <c r="J12" s="15" t="s">
        <v>23</v>
      </c>
    </row>
    <row r="13" spans="1:12">
      <c r="B13" s="16" t="s">
        <v>12</v>
      </c>
      <c r="C13" s="9">
        <v>3972</v>
      </c>
      <c r="D13" s="17">
        <v>242946</v>
      </c>
      <c r="E13" s="14">
        <f t="shared" ref="E13:E22" si="0">C13/D13*1000</f>
        <v>16.349312192832976</v>
      </c>
      <c r="G13" s="16" t="s">
        <v>12</v>
      </c>
      <c r="H13" s="9">
        <v>4540</v>
      </c>
      <c r="I13" s="17">
        <v>240924</v>
      </c>
      <c r="J13" s="14">
        <f>H13/I13*1000</f>
        <v>18.844116816921517</v>
      </c>
    </row>
    <row r="14" spans="1:12">
      <c r="B14" s="16" t="s">
        <v>13</v>
      </c>
      <c r="C14" s="9">
        <v>1660</v>
      </c>
      <c r="D14" s="17">
        <v>85986</v>
      </c>
      <c r="E14" s="14">
        <f t="shared" si="0"/>
        <v>19.305468332054055</v>
      </c>
      <c r="G14" s="16" t="s">
        <v>13</v>
      </c>
      <c r="H14" s="9">
        <v>2312</v>
      </c>
      <c r="I14" s="17">
        <v>118222</v>
      </c>
      <c r="J14" s="14">
        <f t="shared" ref="J14:J22" si="1">H14/I14*1000</f>
        <v>19.556427737646121</v>
      </c>
    </row>
    <row r="15" spans="1:12">
      <c r="B15" s="16" t="s">
        <v>14</v>
      </c>
      <c r="C15" s="9">
        <v>469</v>
      </c>
      <c r="D15" s="17">
        <v>36639</v>
      </c>
      <c r="E15" s="14">
        <f t="shared" si="0"/>
        <v>12.800567701083544</v>
      </c>
      <c r="G15" s="16" t="s">
        <v>14</v>
      </c>
      <c r="H15" s="9">
        <v>433</v>
      </c>
      <c r="I15" s="17">
        <v>34233</v>
      </c>
      <c r="J15" s="14">
        <f t="shared" si="1"/>
        <v>12.648613910554143</v>
      </c>
    </row>
    <row r="16" spans="1:12">
      <c r="B16" s="16" t="s">
        <v>15</v>
      </c>
      <c r="C16" s="9">
        <v>33</v>
      </c>
      <c r="D16" s="17">
        <v>2887</v>
      </c>
      <c r="E16" s="14">
        <f t="shared" si="0"/>
        <v>11.430550744717699</v>
      </c>
      <c r="G16" s="16" t="s">
        <v>15</v>
      </c>
      <c r="H16" s="9">
        <v>45</v>
      </c>
      <c r="I16" s="17">
        <v>3391</v>
      </c>
      <c r="J16" s="14">
        <f t="shared" si="1"/>
        <v>13.270421704511943</v>
      </c>
    </row>
    <row r="17" spans="1:10">
      <c r="B17" s="16" t="s">
        <v>16</v>
      </c>
      <c r="C17" s="9">
        <v>243</v>
      </c>
      <c r="D17" s="17">
        <v>15980</v>
      </c>
      <c r="E17" s="14">
        <f t="shared" si="0"/>
        <v>15.206508135168962</v>
      </c>
      <c r="G17" s="16" t="s">
        <v>16</v>
      </c>
      <c r="H17" s="9">
        <v>254</v>
      </c>
      <c r="I17" s="17">
        <v>17480</v>
      </c>
      <c r="J17" s="14">
        <f t="shared" si="1"/>
        <v>14.530892448512587</v>
      </c>
    </row>
    <row r="18" spans="1:10">
      <c r="B18" s="16" t="s">
        <v>17</v>
      </c>
      <c r="C18" s="9">
        <v>545</v>
      </c>
      <c r="D18" s="17">
        <v>24649</v>
      </c>
      <c r="E18" s="14">
        <f t="shared" si="0"/>
        <v>22.110430443425695</v>
      </c>
      <c r="G18" s="16" t="s">
        <v>17</v>
      </c>
      <c r="H18" s="9">
        <v>628</v>
      </c>
      <c r="I18" s="17">
        <v>31420</v>
      </c>
      <c r="J18" s="14">
        <f t="shared" si="1"/>
        <v>19.987269255251434</v>
      </c>
    </row>
    <row r="19" spans="1:10">
      <c r="B19" s="16" t="s">
        <v>18</v>
      </c>
      <c r="C19" s="9">
        <v>419</v>
      </c>
      <c r="D19" s="17">
        <v>16642</v>
      </c>
      <c r="E19" s="14">
        <f t="shared" si="0"/>
        <v>25.177262348275448</v>
      </c>
      <c r="G19" s="16" t="s">
        <v>18</v>
      </c>
      <c r="H19" s="9">
        <v>445</v>
      </c>
      <c r="I19" s="17">
        <v>18294</v>
      </c>
      <c r="J19" s="14">
        <f t="shared" si="1"/>
        <v>24.324915272767026</v>
      </c>
    </row>
    <row r="20" spans="1:10">
      <c r="B20" s="16" t="s">
        <v>19</v>
      </c>
      <c r="C20" s="9">
        <v>273</v>
      </c>
      <c r="D20" s="17">
        <v>18749</v>
      </c>
      <c r="E20" s="14">
        <f t="shared" si="0"/>
        <v>14.560776574750653</v>
      </c>
      <c r="G20" s="16" t="s">
        <v>19</v>
      </c>
      <c r="H20" s="9">
        <v>322</v>
      </c>
      <c r="I20" s="17">
        <v>24700</v>
      </c>
      <c r="J20" s="14">
        <f t="shared" si="1"/>
        <v>13.036437246963562</v>
      </c>
    </row>
    <row r="21" spans="1:10">
      <c r="B21" s="16" t="s">
        <v>20</v>
      </c>
      <c r="C21" s="9">
        <v>408</v>
      </c>
      <c r="D21" s="17">
        <v>14215</v>
      </c>
      <c r="E21" s="14">
        <f t="shared" si="0"/>
        <v>28.702075272599366</v>
      </c>
      <c r="G21" s="16" t="s">
        <v>20</v>
      </c>
      <c r="H21" s="9">
        <v>435</v>
      </c>
      <c r="I21" s="17">
        <v>15909</v>
      </c>
      <c r="J21" s="14">
        <f t="shared" si="1"/>
        <v>27.343013388647936</v>
      </c>
    </row>
    <row r="22" spans="1:10">
      <c r="B22" s="16" t="s">
        <v>21</v>
      </c>
      <c r="C22" s="9">
        <v>814</v>
      </c>
      <c r="D22" s="17">
        <v>34136</v>
      </c>
      <c r="E22" s="14">
        <f t="shared" si="0"/>
        <v>23.84579329739864</v>
      </c>
      <c r="G22" s="16" t="s">
        <v>21</v>
      </c>
      <c r="H22" s="9">
        <v>740</v>
      </c>
      <c r="I22" s="17">
        <v>37065</v>
      </c>
      <c r="J22" s="14">
        <f t="shared" si="1"/>
        <v>19.96492648050722</v>
      </c>
    </row>
    <row r="23" spans="1:10" ht="15.75" customHeight="1">
      <c r="A23" s="18"/>
      <c r="C23" s="55"/>
      <c r="D23" s="55"/>
      <c r="E23" s="55"/>
      <c r="F23" s="55"/>
      <c r="G23" s="55"/>
      <c r="H23" s="55"/>
      <c r="I23" s="18"/>
      <c r="J23" s="18"/>
    </row>
    <row r="24" spans="1:10">
      <c r="A24" s="18"/>
      <c r="B24" s="55"/>
      <c r="C24" s="55"/>
      <c r="D24" s="55"/>
      <c r="E24" s="55"/>
      <c r="F24" s="55"/>
      <c r="G24" s="55"/>
      <c r="H24" s="55"/>
    </row>
    <row r="25" spans="1:10">
      <c r="B25" s="56" t="s">
        <v>38</v>
      </c>
    </row>
    <row r="26" spans="1:10">
      <c r="B26" s="6" t="s">
        <v>43</v>
      </c>
    </row>
  </sheetData>
  <mergeCells count="4">
    <mergeCell ref="B3:L4"/>
    <mergeCell ref="B11:E11"/>
    <mergeCell ref="G11:J11"/>
    <mergeCell ref="A1:B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W15"/>
  <sheetViews>
    <sheetView workbookViewId="0">
      <selection activeCell="I5" sqref="I5"/>
    </sheetView>
  </sheetViews>
  <sheetFormatPr defaultRowHeight="15"/>
  <sheetData>
    <row r="2" spans="1:23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1"/>
      <c r="L2" s="1"/>
      <c r="M2" s="49" t="s">
        <v>32</v>
      </c>
      <c r="N2" s="49"/>
      <c r="O2" s="49"/>
      <c r="P2" s="49"/>
      <c r="Q2" s="49"/>
      <c r="R2" s="49"/>
      <c r="S2" s="49"/>
      <c r="T2" s="49"/>
      <c r="U2" s="49"/>
      <c r="V2" s="49"/>
      <c r="W2" s="1"/>
    </row>
    <row r="3" spans="1:23">
      <c r="A3" s="19" t="s">
        <v>25</v>
      </c>
      <c r="B3" s="20"/>
      <c r="C3" s="21" t="s">
        <v>26</v>
      </c>
      <c r="D3" s="22"/>
      <c r="E3" s="23"/>
      <c r="F3" s="21" t="s">
        <v>7</v>
      </c>
      <c r="G3" s="24"/>
      <c r="H3" s="20"/>
      <c r="I3" s="25" t="s">
        <v>27</v>
      </c>
      <c r="J3" s="22"/>
      <c r="K3" s="1"/>
      <c r="L3" s="1"/>
      <c r="M3" s="19" t="s">
        <v>25</v>
      </c>
      <c r="N3" s="20"/>
      <c r="O3" s="21" t="s">
        <v>26</v>
      </c>
      <c r="P3" s="22"/>
      <c r="Q3" s="23"/>
      <c r="R3" s="21" t="s">
        <v>7</v>
      </c>
      <c r="S3" s="24"/>
      <c r="T3" s="20"/>
      <c r="U3" s="25"/>
      <c r="V3" s="22"/>
      <c r="W3" s="1"/>
    </row>
    <row r="4" spans="1:23">
      <c r="A4" s="5"/>
      <c r="B4" s="26" t="s">
        <v>28</v>
      </c>
      <c r="C4" s="27" t="s">
        <v>29</v>
      </c>
      <c r="D4" s="28" t="s">
        <v>30</v>
      </c>
      <c r="E4" s="29" t="s">
        <v>28</v>
      </c>
      <c r="F4" s="30" t="s">
        <v>29</v>
      </c>
      <c r="G4" s="31" t="s">
        <v>30</v>
      </c>
      <c r="H4" s="32" t="s">
        <v>28</v>
      </c>
      <c r="I4" s="33" t="s">
        <v>29</v>
      </c>
      <c r="J4" s="34" t="s">
        <v>31</v>
      </c>
      <c r="K4" s="1"/>
      <c r="L4" s="1"/>
      <c r="M4" s="5"/>
      <c r="N4" s="26" t="s">
        <v>28</v>
      </c>
      <c r="O4" s="27" t="s">
        <v>29</v>
      </c>
      <c r="P4" s="28" t="s">
        <v>30</v>
      </c>
      <c r="Q4" s="29" t="s">
        <v>28</v>
      </c>
      <c r="R4" s="30" t="s">
        <v>29</v>
      </c>
      <c r="S4" s="31" t="s">
        <v>30</v>
      </c>
      <c r="T4" s="32" t="s">
        <v>28</v>
      </c>
      <c r="U4" s="33" t="s">
        <v>29</v>
      </c>
      <c r="V4" s="34" t="s">
        <v>31</v>
      </c>
      <c r="W4" s="1"/>
    </row>
    <row r="5" spans="1:23">
      <c r="A5" s="26">
        <v>2007</v>
      </c>
      <c r="B5" s="3">
        <v>72</v>
      </c>
      <c r="C5" s="3">
        <v>62</v>
      </c>
      <c r="D5" s="3">
        <f t="shared" ref="D5:D14" si="0">SUM(B5:C5)</f>
        <v>134</v>
      </c>
      <c r="E5" s="3">
        <v>4889</v>
      </c>
      <c r="F5" s="3">
        <v>4880</v>
      </c>
      <c r="G5" s="3">
        <f t="shared" ref="G5:G14" si="1">SUM(E5:F5)</f>
        <v>9769</v>
      </c>
      <c r="H5" s="4">
        <f t="shared" ref="H5:H14" si="2">B5/E5*1000</f>
        <v>14.726938024135816</v>
      </c>
      <c r="I5" s="4">
        <f t="shared" ref="I5:I14" si="3">C5/F5*1000</f>
        <v>12.704918032786885</v>
      </c>
      <c r="J5" s="4">
        <f t="shared" ref="J5:J14" si="4">D5/G5*1000</f>
        <v>13.716859453372914</v>
      </c>
      <c r="K5" s="1"/>
      <c r="L5" s="1"/>
      <c r="M5" s="26">
        <v>2007</v>
      </c>
      <c r="N5" s="3">
        <f>72+21</f>
        <v>93</v>
      </c>
      <c r="O5" s="3">
        <f>62+21</f>
        <v>83</v>
      </c>
      <c r="P5" s="3">
        <f t="shared" ref="P5:P14" si="5">SUM(N5:O5)</f>
        <v>176</v>
      </c>
      <c r="Q5" s="3">
        <v>4889</v>
      </c>
      <c r="R5" s="3">
        <v>4880</v>
      </c>
      <c r="S5" s="3">
        <f t="shared" ref="S5:S14" si="6">SUM(Q5:R5)</f>
        <v>9769</v>
      </c>
      <c r="T5" s="4">
        <f t="shared" ref="T5:T14" si="7">N5/Q5*1000</f>
        <v>19.022294947842095</v>
      </c>
      <c r="U5" s="4">
        <f t="shared" ref="U5:U14" si="8">O5/R5*1000</f>
        <v>17.008196721311474</v>
      </c>
      <c r="V5" s="4">
        <f t="shared" ref="V5:V14" si="9">P5/S5*1000</f>
        <v>18.016173610400244</v>
      </c>
      <c r="W5" s="1"/>
    </row>
    <row r="6" spans="1:23">
      <c r="A6" s="35">
        <v>2008</v>
      </c>
      <c r="B6" s="3">
        <v>88</v>
      </c>
      <c r="C6" s="3">
        <v>59</v>
      </c>
      <c r="D6" s="3">
        <f t="shared" si="0"/>
        <v>147</v>
      </c>
      <c r="E6" s="3">
        <v>5214</v>
      </c>
      <c r="F6" s="36">
        <v>4883</v>
      </c>
      <c r="G6" s="3">
        <f t="shared" si="1"/>
        <v>10097</v>
      </c>
      <c r="H6" s="4">
        <f t="shared" si="2"/>
        <v>16.877637130801688</v>
      </c>
      <c r="I6" s="4">
        <f t="shared" si="3"/>
        <v>12.082736022936718</v>
      </c>
      <c r="J6" s="4">
        <f t="shared" si="4"/>
        <v>14.558779835594731</v>
      </c>
      <c r="K6" s="1"/>
      <c r="L6" s="1"/>
      <c r="M6" s="35">
        <v>2008</v>
      </c>
      <c r="N6" s="3">
        <f>88+34</f>
        <v>122</v>
      </c>
      <c r="O6" s="3">
        <f>59+18</f>
        <v>77</v>
      </c>
      <c r="P6" s="3">
        <f t="shared" si="5"/>
        <v>199</v>
      </c>
      <c r="Q6" s="3">
        <v>5214</v>
      </c>
      <c r="R6" s="36">
        <v>4883</v>
      </c>
      <c r="S6" s="3">
        <f t="shared" si="6"/>
        <v>10097</v>
      </c>
      <c r="T6" s="4">
        <f t="shared" si="7"/>
        <v>23.398542385884159</v>
      </c>
      <c r="U6" s="4">
        <f t="shared" si="8"/>
        <v>15.768994470612329</v>
      </c>
      <c r="V6" s="4">
        <f t="shared" si="9"/>
        <v>19.708824403288105</v>
      </c>
      <c r="W6" s="1"/>
    </row>
    <row r="7" spans="1:23">
      <c r="A7" s="35">
        <v>2009</v>
      </c>
      <c r="B7" s="3">
        <v>77</v>
      </c>
      <c r="C7" s="3">
        <v>75</v>
      </c>
      <c r="D7" s="3">
        <f t="shared" si="0"/>
        <v>152</v>
      </c>
      <c r="E7" s="3">
        <v>4917</v>
      </c>
      <c r="F7" s="36">
        <v>4875</v>
      </c>
      <c r="G7" s="3">
        <f t="shared" si="1"/>
        <v>9792</v>
      </c>
      <c r="H7" s="4">
        <f t="shared" si="2"/>
        <v>15.659955257270694</v>
      </c>
      <c r="I7" s="4">
        <f t="shared" si="3"/>
        <v>15.384615384615385</v>
      </c>
      <c r="J7" s="4">
        <f t="shared" si="4"/>
        <v>15.522875816993464</v>
      </c>
      <c r="K7" s="1"/>
      <c r="L7" s="1"/>
      <c r="M7" s="35">
        <v>2009</v>
      </c>
      <c r="N7" s="3">
        <f>77+29</f>
        <v>106</v>
      </c>
      <c r="O7" s="3">
        <f>75+18</f>
        <v>93</v>
      </c>
      <c r="P7" s="3">
        <f t="shared" si="5"/>
        <v>199</v>
      </c>
      <c r="Q7" s="3">
        <v>4917</v>
      </c>
      <c r="R7" s="36">
        <v>4875</v>
      </c>
      <c r="S7" s="3">
        <f t="shared" si="6"/>
        <v>9792</v>
      </c>
      <c r="T7" s="4">
        <f t="shared" si="7"/>
        <v>21.557860484034979</v>
      </c>
      <c r="U7" s="4">
        <f t="shared" si="8"/>
        <v>19.076923076923077</v>
      </c>
      <c r="V7" s="4">
        <f t="shared" si="9"/>
        <v>20.322712418300654</v>
      </c>
      <c r="W7" s="1"/>
    </row>
    <row r="8" spans="1:23">
      <c r="A8" s="35">
        <v>2010</v>
      </c>
      <c r="B8" s="3">
        <v>103</v>
      </c>
      <c r="C8" s="36">
        <v>75</v>
      </c>
      <c r="D8" s="3">
        <f t="shared" si="0"/>
        <v>178</v>
      </c>
      <c r="E8" s="3">
        <v>4997</v>
      </c>
      <c r="F8" s="36">
        <v>4715</v>
      </c>
      <c r="G8" s="3">
        <f t="shared" si="1"/>
        <v>9712</v>
      </c>
      <c r="H8" s="4">
        <f t="shared" si="2"/>
        <v>20.612367420452269</v>
      </c>
      <c r="I8" s="4">
        <f t="shared" si="3"/>
        <v>15.906680805938493</v>
      </c>
      <c r="J8" s="4">
        <f t="shared" si="4"/>
        <v>18.327841845140032</v>
      </c>
      <c r="K8" s="1"/>
      <c r="L8" s="1"/>
      <c r="M8" s="35">
        <v>2010</v>
      </c>
      <c r="N8" s="3">
        <f>103+28</f>
        <v>131</v>
      </c>
      <c r="O8" s="36">
        <f>75+14</f>
        <v>89</v>
      </c>
      <c r="P8" s="3">
        <f t="shared" si="5"/>
        <v>220</v>
      </c>
      <c r="Q8" s="3">
        <v>4997</v>
      </c>
      <c r="R8" s="36">
        <v>4715</v>
      </c>
      <c r="S8" s="3">
        <f t="shared" si="6"/>
        <v>9712</v>
      </c>
      <c r="T8" s="4">
        <f t="shared" si="7"/>
        <v>26.215729437662596</v>
      </c>
      <c r="U8" s="4">
        <f t="shared" si="8"/>
        <v>18.87592788971368</v>
      </c>
      <c r="V8" s="4">
        <f t="shared" si="9"/>
        <v>22.652388797364086</v>
      </c>
      <c r="W8" s="1"/>
    </row>
    <row r="9" spans="1:23">
      <c r="A9" s="35">
        <v>2011</v>
      </c>
      <c r="B9" s="3">
        <v>84</v>
      </c>
      <c r="C9" s="36">
        <v>69</v>
      </c>
      <c r="D9" s="3">
        <f t="shared" si="0"/>
        <v>153</v>
      </c>
      <c r="E9" s="3">
        <v>4932</v>
      </c>
      <c r="F9" s="36">
        <v>4771</v>
      </c>
      <c r="G9" s="3">
        <f t="shared" si="1"/>
        <v>9703</v>
      </c>
      <c r="H9" s="4">
        <f t="shared" si="2"/>
        <v>17.031630170316301</v>
      </c>
      <c r="I9" s="4">
        <f t="shared" si="3"/>
        <v>14.462376860197024</v>
      </c>
      <c r="J9" s="4">
        <f t="shared" si="4"/>
        <v>15.768319076574256</v>
      </c>
      <c r="K9" s="1"/>
      <c r="L9" s="1"/>
      <c r="M9" s="35">
        <v>2011</v>
      </c>
      <c r="N9" s="3">
        <f>84+14</f>
        <v>98</v>
      </c>
      <c r="O9" s="36">
        <f>69+10</f>
        <v>79</v>
      </c>
      <c r="P9" s="3">
        <f t="shared" si="5"/>
        <v>177</v>
      </c>
      <c r="Q9" s="3">
        <v>4932</v>
      </c>
      <c r="R9" s="36">
        <v>4771</v>
      </c>
      <c r="S9" s="3">
        <f t="shared" si="6"/>
        <v>9703</v>
      </c>
      <c r="T9" s="4">
        <f t="shared" si="7"/>
        <v>19.870235198702353</v>
      </c>
      <c r="U9" s="4">
        <f t="shared" si="8"/>
        <v>16.55837350660239</v>
      </c>
      <c r="V9" s="4">
        <f t="shared" si="9"/>
        <v>18.241780892507474</v>
      </c>
      <c r="W9" s="1"/>
    </row>
    <row r="10" spans="1:23">
      <c r="A10" s="35">
        <v>2012</v>
      </c>
      <c r="B10" s="3">
        <v>71</v>
      </c>
      <c r="C10" s="36">
        <v>91</v>
      </c>
      <c r="D10" s="3">
        <f t="shared" si="0"/>
        <v>162</v>
      </c>
      <c r="E10" s="3">
        <v>5213</v>
      </c>
      <c r="F10" s="36">
        <v>5004</v>
      </c>
      <c r="G10" s="3">
        <f t="shared" si="1"/>
        <v>10217</v>
      </c>
      <c r="H10" s="4">
        <f t="shared" si="2"/>
        <v>13.619796662190677</v>
      </c>
      <c r="I10" s="4">
        <f t="shared" si="3"/>
        <v>18.185451638689049</v>
      </c>
      <c r="J10" s="4">
        <f t="shared" si="4"/>
        <v>15.85592639718117</v>
      </c>
      <c r="K10" s="1"/>
      <c r="L10" s="1"/>
      <c r="M10" s="35">
        <v>2012</v>
      </c>
      <c r="N10" s="3">
        <f>71+15</f>
        <v>86</v>
      </c>
      <c r="O10" s="36">
        <f>91+12</f>
        <v>103</v>
      </c>
      <c r="P10" s="3">
        <f t="shared" si="5"/>
        <v>189</v>
      </c>
      <c r="Q10" s="3">
        <v>5213</v>
      </c>
      <c r="R10" s="36">
        <v>5004</v>
      </c>
      <c r="S10" s="3">
        <f t="shared" si="6"/>
        <v>10217</v>
      </c>
      <c r="T10" s="4">
        <f t="shared" si="7"/>
        <v>16.49721849223096</v>
      </c>
      <c r="U10" s="4">
        <f t="shared" si="8"/>
        <v>20.583533173461234</v>
      </c>
      <c r="V10" s="4">
        <f t="shared" si="9"/>
        <v>18.498580796711366</v>
      </c>
      <c r="W10" s="1"/>
    </row>
    <row r="11" spans="1:23">
      <c r="A11" s="35">
        <v>2013</v>
      </c>
      <c r="B11" s="3">
        <v>95</v>
      </c>
      <c r="C11" s="36">
        <v>73</v>
      </c>
      <c r="D11" s="3">
        <f t="shared" si="0"/>
        <v>168</v>
      </c>
      <c r="E11" s="3">
        <v>5119</v>
      </c>
      <c r="F11" s="36">
        <v>4893</v>
      </c>
      <c r="G11" s="3">
        <f t="shared" si="1"/>
        <v>10012</v>
      </c>
      <c r="H11" s="4">
        <f t="shared" si="2"/>
        <v>18.558312170345769</v>
      </c>
      <c r="I11" s="4">
        <f t="shared" si="3"/>
        <v>14.919272430002044</v>
      </c>
      <c r="J11" s="4">
        <f t="shared" si="4"/>
        <v>16.779864163004394</v>
      </c>
      <c r="K11" s="1"/>
      <c r="L11" s="1"/>
      <c r="M11" s="35">
        <v>2013</v>
      </c>
      <c r="N11" s="3">
        <f>95+17</f>
        <v>112</v>
      </c>
      <c r="O11" s="36">
        <f>73+18</f>
        <v>91</v>
      </c>
      <c r="P11" s="3">
        <f t="shared" si="5"/>
        <v>203</v>
      </c>
      <c r="Q11" s="3">
        <v>5119</v>
      </c>
      <c r="R11" s="36">
        <v>4893</v>
      </c>
      <c r="S11" s="3">
        <f t="shared" si="6"/>
        <v>10012</v>
      </c>
      <c r="T11" s="4">
        <f t="shared" si="7"/>
        <v>21.87927329556554</v>
      </c>
      <c r="U11" s="4">
        <f t="shared" si="8"/>
        <v>18.597997138769671</v>
      </c>
      <c r="V11" s="4">
        <f t="shared" si="9"/>
        <v>20.275669196963644</v>
      </c>
      <c r="W11" s="1"/>
    </row>
    <row r="12" spans="1:23">
      <c r="A12" s="35">
        <v>2014</v>
      </c>
      <c r="B12" s="3">
        <v>90</v>
      </c>
      <c r="C12" s="36">
        <v>73</v>
      </c>
      <c r="D12" s="3">
        <f t="shared" si="0"/>
        <v>163</v>
      </c>
      <c r="E12" s="3">
        <v>5229</v>
      </c>
      <c r="F12" s="36">
        <v>5178</v>
      </c>
      <c r="G12" s="3">
        <f t="shared" si="1"/>
        <v>10407</v>
      </c>
      <c r="H12" s="4">
        <f t="shared" si="2"/>
        <v>17.21170395869191</v>
      </c>
      <c r="I12" s="4">
        <f t="shared" si="3"/>
        <v>14.098107377365778</v>
      </c>
      <c r="J12" s="4">
        <f t="shared" si="4"/>
        <v>15.662534832324395</v>
      </c>
      <c r="K12" s="1"/>
      <c r="L12" s="1"/>
      <c r="M12" s="35">
        <v>2014</v>
      </c>
      <c r="N12" s="3">
        <f>90+24</f>
        <v>114</v>
      </c>
      <c r="O12" s="36">
        <f>73+10</f>
        <v>83</v>
      </c>
      <c r="P12" s="3">
        <f t="shared" si="5"/>
        <v>197</v>
      </c>
      <c r="Q12" s="3">
        <v>5229</v>
      </c>
      <c r="R12" s="36">
        <v>5178</v>
      </c>
      <c r="S12" s="3">
        <f t="shared" si="6"/>
        <v>10407</v>
      </c>
      <c r="T12" s="4">
        <f t="shared" si="7"/>
        <v>21.801491681009754</v>
      </c>
      <c r="U12" s="4">
        <f t="shared" si="8"/>
        <v>16.029354963306297</v>
      </c>
      <c r="V12" s="4">
        <f t="shared" si="9"/>
        <v>18.929566637839915</v>
      </c>
      <c r="W12" s="1"/>
    </row>
    <row r="13" spans="1:23">
      <c r="A13" s="35">
        <v>2015</v>
      </c>
      <c r="B13" s="3">
        <v>80</v>
      </c>
      <c r="C13" s="36">
        <v>69</v>
      </c>
      <c r="D13" s="3">
        <f t="shared" si="0"/>
        <v>149</v>
      </c>
      <c r="E13" s="3">
        <v>5063</v>
      </c>
      <c r="F13" s="36">
        <v>5085</v>
      </c>
      <c r="G13" s="3">
        <f t="shared" si="1"/>
        <v>10148</v>
      </c>
      <c r="H13" s="4">
        <f t="shared" si="2"/>
        <v>15.800908552241754</v>
      </c>
      <c r="I13" s="4">
        <f t="shared" si="3"/>
        <v>13.569321533923304</v>
      </c>
      <c r="J13" s="4">
        <f t="shared" si="4"/>
        <v>14.682696097753253</v>
      </c>
      <c r="K13" s="1"/>
      <c r="L13" s="1"/>
      <c r="M13" s="35">
        <v>2015</v>
      </c>
      <c r="N13" s="3">
        <f>80+14</f>
        <v>94</v>
      </c>
      <c r="O13" s="36">
        <f>69+8</f>
        <v>77</v>
      </c>
      <c r="P13" s="3">
        <f t="shared" si="5"/>
        <v>171</v>
      </c>
      <c r="Q13" s="3">
        <v>5063</v>
      </c>
      <c r="R13" s="36">
        <v>5085</v>
      </c>
      <c r="S13" s="3">
        <f t="shared" si="6"/>
        <v>10148</v>
      </c>
      <c r="T13" s="4">
        <f t="shared" si="7"/>
        <v>18.56606754888406</v>
      </c>
      <c r="U13" s="4">
        <f t="shared" si="8"/>
        <v>15.142576204523106</v>
      </c>
      <c r="V13" s="4">
        <f t="shared" si="9"/>
        <v>16.850610957824202</v>
      </c>
      <c r="W13" s="1"/>
    </row>
    <row r="14" spans="1:23">
      <c r="A14" s="5">
        <v>2016</v>
      </c>
      <c r="B14" s="3">
        <v>97</v>
      </c>
      <c r="C14" s="3">
        <v>73</v>
      </c>
      <c r="D14" s="3">
        <f t="shared" si="0"/>
        <v>170</v>
      </c>
      <c r="E14" s="3">
        <v>5167</v>
      </c>
      <c r="F14" s="3">
        <v>4743</v>
      </c>
      <c r="G14" s="3">
        <f t="shared" si="1"/>
        <v>9910</v>
      </c>
      <c r="H14" s="4">
        <f t="shared" si="2"/>
        <v>18.772982388233014</v>
      </c>
      <c r="I14" s="4">
        <f t="shared" si="3"/>
        <v>15.391102677630192</v>
      </c>
      <c r="J14" s="4">
        <f t="shared" si="4"/>
        <v>17.154389505549947</v>
      </c>
      <c r="K14" s="1"/>
      <c r="L14" s="1"/>
      <c r="M14" s="5">
        <v>2016</v>
      </c>
      <c r="N14" s="3">
        <f>97+12</f>
        <v>109</v>
      </c>
      <c r="O14" s="3">
        <f>73+9</f>
        <v>82</v>
      </c>
      <c r="P14" s="3">
        <f t="shared" si="5"/>
        <v>191</v>
      </c>
      <c r="Q14" s="3">
        <v>5167</v>
      </c>
      <c r="R14" s="3">
        <v>4743</v>
      </c>
      <c r="S14" s="3">
        <f t="shared" si="6"/>
        <v>9910</v>
      </c>
      <c r="T14" s="4">
        <f t="shared" si="7"/>
        <v>21.095413199148442</v>
      </c>
      <c r="U14" s="4">
        <f t="shared" si="8"/>
        <v>17.288635884461311</v>
      </c>
      <c r="V14" s="4">
        <f t="shared" si="9"/>
        <v>19.273461150353182</v>
      </c>
      <c r="W14" s="1"/>
    </row>
    <row r="15" spans="1:2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</sheetData>
  <mergeCells count="2">
    <mergeCell ref="A2:J2"/>
    <mergeCell ref="M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W152"/>
  <sheetViews>
    <sheetView workbookViewId="0">
      <selection activeCell="I3" sqref="I3"/>
    </sheetView>
  </sheetViews>
  <sheetFormatPr defaultRowHeight="15"/>
  <sheetData>
    <row r="1" spans="2:23" s="1" customFormat="1">
      <c r="B1" s="1" t="s">
        <v>39</v>
      </c>
      <c r="C1" s="1" t="s">
        <v>40</v>
      </c>
      <c r="N1" s="1" t="s">
        <v>39</v>
      </c>
      <c r="O1" s="1" t="s">
        <v>40</v>
      </c>
    </row>
    <row r="2" spans="2:23" s="1" customFormat="1">
      <c r="B2" s="1" t="s">
        <v>41</v>
      </c>
      <c r="C2" s="1" t="s">
        <v>42</v>
      </c>
      <c r="N2" s="1" t="s">
        <v>41</v>
      </c>
      <c r="O2" s="1" t="s">
        <v>42</v>
      </c>
    </row>
    <row r="3" spans="2:23" s="1" customFormat="1"/>
    <row r="5" spans="2:23">
      <c r="B5" s="2" t="s">
        <v>34</v>
      </c>
      <c r="C5" s="37"/>
      <c r="D5" s="38"/>
      <c r="E5" s="38"/>
      <c r="F5" s="38"/>
      <c r="G5" s="38" t="s">
        <v>12</v>
      </c>
      <c r="H5" s="38"/>
      <c r="I5" s="38"/>
      <c r="J5" s="38"/>
      <c r="K5" s="39"/>
      <c r="L5" s="1"/>
      <c r="M5" s="1"/>
      <c r="N5" s="2" t="s">
        <v>35</v>
      </c>
      <c r="O5" s="37"/>
      <c r="P5" s="38"/>
      <c r="Q5" s="38"/>
      <c r="R5" s="38"/>
      <c r="S5" s="38" t="s">
        <v>12</v>
      </c>
      <c r="T5" s="38"/>
      <c r="U5" s="38"/>
      <c r="V5" s="38"/>
      <c r="W5" s="39"/>
    </row>
    <row r="6" spans="2:23">
      <c r="B6" s="23" t="s">
        <v>25</v>
      </c>
      <c r="C6" s="20"/>
      <c r="D6" s="21" t="s">
        <v>26</v>
      </c>
      <c r="E6" s="22"/>
      <c r="F6" s="23"/>
      <c r="G6" s="21" t="s">
        <v>7</v>
      </c>
      <c r="H6" s="24"/>
      <c r="I6" s="50" t="s">
        <v>34</v>
      </c>
      <c r="J6" s="51"/>
      <c r="K6" s="52"/>
      <c r="L6" s="1"/>
      <c r="M6" s="1"/>
      <c r="N6" s="19" t="s">
        <v>25</v>
      </c>
      <c r="O6" s="20"/>
      <c r="P6" s="21" t="s">
        <v>26</v>
      </c>
      <c r="Q6" s="22"/>
      <c r="R6" s="23"/>
      <c r="S6" s="21" t="s">
        <v>7</v>
      </c>
      <c r="T6" s="24"/>
      <c r="U6" s="50" t="s">
        <v>35</v>
      </c>
      <c r="V6" s="51"/>
      <c r="W6" s="52"/>
    </row>
    <row r="7" spans="2:23">
      <c r="B7" s="40"/>
      <c r="C7" s="40" t="s">
        <v>28</v>
      </c>
      <c r="D7" s="41" t="s">
        <v>29</v>
      </c>
      <c r="E7" s="42" t="s">
        <v>30</v>
      </c>
      <c r="F7" s="29" t="s">
        <v>28</v>
      </c>
      <c r="G7" s="30" t="s">
        <v>29</v>
      </c>
      <c r="H7" s="31" t="s">
        <v>30</v>
      </c>
      <c r="I7" s="32" t="s">
        <v>28</v>
      </c>
      <c r="J7" s="33" t="s">
        <v>29</v>
      </c>
      <c r="K7" s="34" t="s">
        <v>31</v>
      </c>
      <c r="L7" s="1"/>
      <c r="M7" s="1"/>
      <c r="N7" s="5"/>
      <c r="O7" s="26" t="s">
        <v>28</v>
      </c>
      <c r="P7" s="27" t="s">
        <v>29</v>
      </c>
      <c r="Q7" s="28" t="s">
        <v>30</v>
      </c>
      <c r="R7" s="29" t="s">
        <v>28</v>
      </c>
      <c r="S7" s="30" t="s">
        <v>29</v>
      </c>
      <c r="T7" s="31" t="s">
        <v>30</v>
      </c>
      <c r="U7" s="43" t="s">
        <v>28</v>
      </c>
      <c r="V7" s="44" t="s">
        <v>29</v>
      </c>
      <c r="W7" s="45" t="s">
        <v>31</v>
      </c>
    </row>
    <row r="8" spans="2:23">
      <c r="B8" s="19">
        <v>2007</v>
      </c>
      <c r="C8" s="3">
        <v>44</v>
      </c>
      <c r="D8" s="3">
        <v>34</v>
      </c>
      <c r="E8" s="3">
        <f t="shared" ref="E8:E17" si="0">SUM(C8:D8)</f>
        <v>78</v>
      </c>
      <c r="F8" s="3">
        <v>2113</v>
      </c>
      <c r="G8" s="3">
        <v>2063</v>
      </c>
      <c r="H8" s="3">
        <v>4176</v>
      </c>
      <c r="I8" s="4">
        <f t="shared" ref="I8:I17" si="1">C8/F8*1000</f>
        <v>20.823473734027449</v>
      </c>
      <c r="J8" s="4">
        <f t="shared" ref="J8:J17" si="2">D8/G8*1000</f>
        <v>16.480853126514784</v>
      </c>
      <c r="K8" s="4">
        <f t="shared" ref="K8:K17" si="3">E8/H8*1000</f>
        <v>18.678160919540232</v>
      </c>
      <c r="L8" s="1"/>
      <c r="M8" s="1"/>
      <c r="N8" s="26">
        <v>2007</v>
      </c>
      <c r="O8" s="3">
        <f>44+8</f>
        <v>52</v>
      </c>
      <c r="P8" s="3">
        <f>34+8</f>
        <v>42</v>
      </c>
      <c r="Q8" s="3">
        <f t="shared" ref="Q8:Q17" si="4">SUM(O8:P8)</f>
        <v>94</v>
      </c>
      <c r="R8" s="3">
        <v>2113</v>
      </c>
      <c r="S8" s="3">
        <v>2063</v>
      </c>
      <c r="T8" s="3">
        <v>4176</v>
      </c>
      <c r="U8" s="4">
        <f t="shared" ref="U8:U17" si="5">O8/R8*1000</f>
        <v>24.609559867486986</v>
      </c>
      <c r="V8" s="4">
        <f t="shared" ref="V8:V17" si="6">P8/S8*1000</f>
        <v>20.358700920988852</v>
      </c>
      <c r="W8" s="4">
        <f t="shared" ref="W8:W17" si="7">Q8/T8*1000</f>
        <v>22.509578544061302</v>
      </c>
    </row>
    <row r="9" spans="2:23">
      <c r="B9" s="35">
        <v>2008</v>
      </c>
      <c r="C9" s="3">
        <v>45</v>
      </c>
      <c r="D9" s="3">
        <v>29</v>
      </c>
      <c r="E9" s="3">
        <f t="shared" si="0"/>
        <v>74</v>
      </c>
      <c r="F9" s="3">
        <v>2256</v>
      </c>
      <c r="G9" s="36">
        <v>2081</v>
      </c>
      <c r="H9" s="3">
        <v>4337</v>
      </c>
      <c r="I9" s="4">
        <f t="shared" si="1"/>
        <v>19.946808510638299</v>
      </c>
      <c r="J9" s="4">
        <f t="shared" si="2"/>
        <v>13.935607880826526</v>
      </c>
      <c r="K9" s="4">
        <f t="shared" si="3"/>
        <v>17.0624855891169</v>
      </c>
      <c r="L9" s="1"/>
      <c r="M9" s="1"/>
      <c r="N9" s="26">
        <v>2008</v>
      </c>
      <c r="O9" s="3">
        <f>45+11</f>
        <v>56</v>
      </c>
      <c r="P9" s="3">
        <f>29+5</f>
        <v>34</v>
      </c>
      <c r="Q9" s="3">
        <f t="shared" si="4"/>
        <v>90</v>
      </c>
      <c r="R9" s="3">
        <v>2256</v>
      </c>
      <c r="S9" s="36">
        <v>2081</v>
      </c>
      <c r="T9" s="3">
        <v>4337</v>
      </c>
      <c r="U9" s="4">
        <f t="shared" si="5"/>
        <v>24.822695035460995</v>
      </c>
      <c r="V9" s="4">
        <f t="shared" si="6"/>
        <v>16.338298894762133</v>
      </c>
      <c r="W9" s="4">
        <f t="shared" si="7"/>
        <v>20.751671662439474</v>
      </c>
    </row>
    <row r="10" spans="2:23">
      <c r="B10" s="35">
        <v>2009</v>
      </c>
      <c r="C10" s="3">
        <v>39</v>
      </c>
      <c r="D10" s="3">
        <v>38</v>
      </c>
      <c r="E10" s="3">
        <f t="shared" si="0"/>
        <v>77</v>
      </c>
      <c r="F10" s="3">
        <v>2268</v>
      </c>
      <c r="G10" s="36">
        <v>2117</v>
      </c>
      <c r="H10" s="3">
        <v>4385</v>
      </c>
      <c r="I10" s="4">
        <f t="shared" si="1"/>
        <v>17.195767195767196</v>
      </c>
      <c r="J10" s="4">
        <f t="shared" si="2"/>
        <v>17.949929145016533</v>
      </c>
      <c r="K10" s="4">
        <f t="shared" si="3"/>
        <v>17.559863169897376</v>
      </c>
      <c r="L10" s="1"/>
      <c r="M10" s="1"/>
      <c r="N10" s="26">
        <v>2009</v>
      </c>
      <c r="O10" s="3">
        <f>39+11</f>
        <v>50</v>
      </c>
      <c r="P10" s="3">
        <f>38+7</f>
        <v>45</v>
      </c>
      <c r="Q10" s="3">
        <f t="shared" si="4"/>
        <v>95</v>
      </c>
      <c r="R10" s="3">
        <v>2268</v>
      </c>
      <c r="S10" s="36">
        <v>2117</v>
      </c>
      <c r="T10" s="3">
        <v>4385</v>
      </c>
      <c r="U10" s="4">
        <f t="shared" si="5"/>
        <v>22.045855379188712</v>
      </c>
      <c r="V10" s="4">
        <f t="shared" si="6"/>
        <v>21.256495040151158</v>
      </c>
      <c r="W10" s="4">
        <f t="shared" si="7"/>
        <v>21.664766248574686</v>
      </c>
    </row>
    <row r="11" spans="2:23">
      <c r="B11" s="35">
        <v>2010</v>
      </c>
      <c r="C11" s="3">
        <v>45</v>
      </c>
      <c r="D11" s="3">
        <v>36</v>
      </c>
      <c r="E11" s="3">
        <f t="shared" si="0"/>
        <v>81</v>
      </c>
      <c r="F11" s="3">
        <v>2207</v>
      </c>
      <c r="G11" s="36">
        <v>2047</v>
      </c>
      <c r="H11" s="3">
        <v>4254</v>
      </c>
      <c r="I11" s="4">
        <f t="shared" si="1"/>
        <v>20.389669234254644</v>
      </c>
      <c r="J11" s="4">
        <f t="shared" si="2"/>
        <v>17.586712261846603</v>
      </c>
      <c r="K11" s="4">
        <f t="shared" si="3"/>
        <v>19.040902679830751</v>
      </c>
      <c r="L11" s="1"/>
      <c r="M11" s="1"/>
      <c r="N11" s="26">
        <v>2010</v>
      </c>
      <c r="O11" s="3">
        <f>45+10</f>
        <v>55</v>
      </c>
      <c r="P11" s="36">
        <f>36+5</f>
        <v>41</v>
      </c>
      <c r="Q11" s="3">
        <f t="shared" si="4"/>
        <v>96</v>
      </c>
      <c r="R11" s="3">
        <v>2207</v>
      </c>
      <c r="S11" s="36">
        <v>2047</v>
      </c>
      <c r="T11" s="3">
        <v>4254</v>
      </c>
      <c r="U11" s="4">
        <f t="shared" si="5"/>
        <v>24.920706841866789</v>
      </c>
      <c r="V11" s="4">
        <f t="shared" si="6"/>
        <v>20.029311187103076</v>
      </c>
      <c r="W11" s="4">
        <f t="shared" si="7"/>
        <v>22.566995768688294</v>
      </c>
    </row>
    <row r="12" spans="2:23">
      <c r="B12" s="35">
        <v>2011</v>
      </c>
      <c r="C12" s="3">
        <v>39</v>
      </c>
      <c r="D12" s="3">
        <v>33</v>
      </c>
      <c r="E12" s="3">
        <f t="shared" si="0"/>
        <v>72</v>
      </c>
      <c r="F12" s="3">
        <v>2234</v>
      </c>
      <c r="G12" s="36">
        <v>2106</v>
      </c>
      <c r="H12" s="3">
        <v>4340</v>
      </c>
      <c r="I12" s="4">
        <f t="shared" si="1"/>
        <v>17.457475380483437</v>
      </c>
      <c r="J12" s="4">
        <f t="shared" si="2"/>
        <v>15.66951566951567</v>
      </c>
      <c r="K12" s="4">
        <f t="shared" si="3"/>
        <v>16.589861751152075</v>
      </c>
      <c r="L12" s="1"/>
      <c r="M12" s="1"/>
      <c r="N12" s="26">
        <v>2011</v>
      </c>
      <c r="O12" s="3">
        <f>39+7</f>
        <v>46</v>
      </c>
      <c r="P12" s="36">
        <f>33+2</f>
        <v>35</v>
      </c>
      <c r="Q12" s="3">
        <f t="shared" si="4"/>
        <v>81</v>
      </c>
      <c r="R12" s="3">
        <v>2234</v>
      </c>
      <c r="S12" s="36">
        <v>2106</v>
      </c>
      <c r="T12" s="3">
        <v>4340</v>
      </c>
      <c r="U12" s="4">
        <f t="shared" si="5"/>
        <v>20.590868397493285</v>
      </c>
      <c r="V12" s="4">
        <f t="shared" si="6"/>
        <v>16.619183285849953</v>
      </c>
      <c r="W12" s="4">
        <f t="shared" si="7"/>
        <v>18.663594470046085</v>
      </c>
    </row>
    <row r="13" spans="2:23">
      <c r="B13" s="35">
        <v>2012</v>
      </c>
      <c r="C13" s="3">
        <v>39</v>
      </c>
      <c r="D13" s="3">
        <v>41</v>
      </c>
      <c r="E13" s="3">
        <f t="shared" si="0"/>
        <v>80</v>
      </c>
      <c r="F13" s="3">
        <v>2313</v>
      </c>
      <c r="G13" s="36">
        <v>2227</v>
      </c>
      <c r="H13" s="3">
        <v>4540</v>
      </c>
      <c r="I13" s="4">
        <f t="shared" si="1"/>
        <v>16.861219195849547</v>
      </c>
      <c r="J13" s="4">
        <f t="shared" si="2"/>
        <v>18.410417602155366</v>
      </c>
      <c r="K13" s="4">
        <f t="shared" si="3"/>
        <v>17.621145374449341</v>
      </c>
      <c r="L13" s="1"/>
      <c r="M13" s="1"/>
      <c r="N13" s="26">
        <v>2012</v>
      </c>
      <c r="O13" s="3">
        <f>39+5</f>
        <v>44</v>
      </c>
      <c r="P13" s="36">
        <f>41+6</f>
        <v>47</v>
      </c>
      <c r="Q13" s="3">
        <f t="shared" si="4"/>
        <v>91</v>
      </c>
      <c r="R13" s="3">
        <v>2313</v>
      </c>
      <c r="S13" s="36">
        <v>2227</v>
      </c>
      <c r="T13" s="3">
        <v>4540</v>
      </c>
      <c r="U13" s="4">
        <f t="shared" si="5"/>
        <v>19.022913964548206</v>
      </c>
      <c r="V13" s="4">
        <f t="shared" si="6"/>
        <v>21.104625056129322</v>
      </c>
      <c r="W13" s="4">
        <f t="shared" si="7"/>
        <v>20.044052863436125</v>
      </c>
    </row>
    <row r="14" spans="2:23">
      <c r="B14" s="35">
        <v>2013</v>
      </c>
      <c r="C14" s="3">
        <v>41</v>
      </c>
      <c r="D14" s="3">
        <v>40</v>
      </c>
      <c r="E14" s="3">
        <f t="shared" si="0"/>
        <v>81</v>
      </c>
      <c r="F14" s="3">
        <v>2301</v>
      </c>
      <c r="G14" s="36">
        <v>2161</v>
      </c>
      <c r="H14" s="3">
        <v>4462</v>
      </c>
      <c r="I14" s="4">
        <f t="shared" si="1"/>
        <v>17.818339852238157</v>
      </c>
      <c r="J14" s="4">
        <f t="shared" si="2"/>
        <v>18.509949097639982</v>
      </c>
      <c r="K14" s="4">
        <f t="shared" si="3"/>
        <v>18.153294486777231</v>
      </c>
      <c r="L14" s="1"/>
      <c r="M14" s="1"/>
      <c r="N14" s="26">
        <v>2013</v>
      </c>
      <c r="O14" s="3">
        <f>41+8</f>
        <v>49</v>
      </c>
      <c r="P14" s="36">
        <f>40+6</f>
        <v>46</v>
      </c>
      <c r="Q14" s="3">
        <f t="shared" si="4"/>
        <v>95</v>
      </c>
      <c r="R14" s="3">
        <v>2301</v>
      </c>
      <c r="S14" s="36">
        <v>2161</v>
      </c>
      <c r="T14" s="3">
        <v>4462</v>
      </c>
      <c r="U14" s="4">
        <f t="shared" si="5"/>
        <v>21.295089091699264</v>
      </c>
      <c r="V14" s="4">
        <f t="shared" si="6"/>
        <v>21.286441462285978</v>
      </c>
      <c r="W14" s="4">
        <f t="shared" si="7"/>
        <v>21.290900941281937</v>
      </c>
    </row>
    <row r="15" spans="2:23">
      <c r="B15" s="35">
        <v>2014</v>
      </c>
      <c r="C15" s="3">
        <v>42</v>
      </c>
      <c r="D15" s="3">
        <v>34</v>
      </c>
      <c r="E15" s="3">
        <f t="shared" si="0"/>
        <v>76</v>
      </c>
      <c r="F15" s="3">
        <v>2253</v>
      </c>
      <c r="G15" s="36">
        <v>2288</v>
      </c>
      <c r="H15" s="3">
        <v>4541</v>
      </c>
      <c r="I15" s="4">
        <f t="shared" si="1"/>
        <v>18.641810918774969</v>
      </c>
      <c r="J15" s="4">
        <f t="shared" si="2"/>
        <v>14.86013986013986</v>
      </c>
      <c r="K15" s="4">
        <f t="shared" si="3"/>
        <v>16.736401673640167</v>
      </c>
      <c r="L15" s="1"/>
      <c r="M15" s="1"/>
      <c r="N15" s="26">
        <v>2014</v>
      </c>
      <c r="O15" s="3">
        <f>42+7</f>
        <v>49</v>
      </c>
      <c r="P15" s="36">
        <f>34+4</f>
        <v>38</v>
      </c>
      <c r="Q15" s="3">
        <f t="shared" si="4"/>
        <v>87</v>
      </c>
      <c r="R15" s="3">
        <v>2253</v>
      </c>
      <c r="S15" s="36">
        <v>2288</v>
      </c>
      <c r="T15" s="3">
        <v>4541</v>
      </c>
      <c r="U15" s="4">
        <f t="shared" si="5"/>
        <v>21.74877940523746</v>
      </c>
      <c r="V15" s="4">
        <f t="shared" si="6"/>
        <v>16.608391608391607</v>
      </c>
      <c r="W15" s="4">
        <f t="shared" si="7"/>
        <v>19.158775600088088</v>
      </c>
    </row>
    <row r="16" spans="2:23">
      <c r="B16" s="35">
        <v>2015</v>
      </c>
      <c r="C16" s="3">
        <v>44</v>
      </c>
      <c r="D16" s="3">
        <v>38</v>
      </c>
      <c r="E16" s="3">
        <f t="shared" si="0"/>
        <v>82</v>
      </c>
      <c r="F16" s="3">
        <v>2143</v>
      </c>
      <c r="G16" s="36">
        <v>2161</v>
      </c>
      <c r="H16" s="3">
        <v>4304</v>
      </c>
      <c r="I16" s="4">
        <f t="shared" si="1"/>
        <v>20.531964535697622</v>
      </c>
      <c r="J16" s="4">
        <f t="shared" si="2"/>
        <v>17.584451642757983</v>
      </c>
      <c r="K16" s="4">
        <f t="shared" si="3"/>
        <v>19.052044609665426</v>
      </c>
      <c r="L16" s="1"/>
      <c r="M16" s="1"/>
      <c r="N16" s="26">
        <v>2015</v>
      </c>
      <c r="O16" s="3">
        <f>44+4</f>
        <v>48</v>
      </c>
      <c r="P16" s="36">
        <f>38+3</f>
        <v>41</v>
      </c>
      <c r="Q16" s="3">
        <f t="shared" si="4"/>
        <v>89</v>
      </c>
      <c r="R16" s="3">
        <v>2143</v>
      </c>
      <c r="S16" s="36">
        <v>2161</v>
      </c>
      <c r="T16" s="3">
        <v>4304</v>
      </c>
      <c r="U16" s="4">
        <f t="shared" si="5"/>
        <v>22.398506766215586</v>
      </c>
      <c r="V16" s="4">
        <f t="shared" si="6"/>
        <v>18.972697825080978</v>
      </c>
      <c r="W16" s="4">
        <f t="shared" si="7"/>
        <v>20.67843866171004</v>
      </c>
    </row>
    <row r="17" spans="2:23">
      <c r="B17" s="5">
        <v>2016</v>
      </c>
      <c r="C17" s="3">
        <v>54</v>
      </c>
      <c r="D17" s="3">
        <v>40</v>
      </c>
      <c r="E17" s="3">
        <f t="shared" si="0"/>
        <v>94</v>
      </c>
      <c r="F17" s="3">
        <v>2177</v>
      </c>
      <c r="G17" s="3">
        <v>2017</v>
      </c>
      <c r="H17" s="3">
        <v>4194</v>
      </c>
      <c r="I17" s="4">
        <f t="shared" si="1"/>
        <v>24.804777216352779</v>
      </c>
      <c r="J17" s="4">
        <f t="shared" si="2"/>
        <v>19.83143282102132</v>
      </c>
      <c r="K17" s="4">
        <f t="shared" si="3"/>
        <v>22.412970910824988</v>
      </c>
      <c r="L17" s="1"/>
      <c r="M17" s="1"/>
      <c r="N17" s="40">
        <v>2016</v>
      </c>
      <c r="O17" s="3">
        <f>54+2</f>
        <v>56</v>
      </c>
      <c r="P17" s="3">
        <f>40+5</f>
        <v>45</v>
      </c>
      <c r="Q17" s="3">
        <f t="shared" si="4"/>
        <v>101</v>
      </c>
      <c r="R17" s="3">
        <v>2177</v>
      </c>
      <c r="S17" s="3">
        <v>2017</v>
      </c>
      <c r="T17" s="3">
        <v>4194</v>
      </c>
      <c r="U17" s="4">
        <f t="shared" si="5"/>
        <v>25.723472668810288</v>
      </c>
      <c r="V17" s="4">
        <f t="shared" si="6"/>
        <v>22.310361923648983</v>
      </c>
      <c r="W17" s="4">
        <f t="shared" si="7"/>
        <v>24.082021936099189</v>
      </c>
    </row>
    <row r="18" spans="2:2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>
      <c r="B20" s="2" t="s">
        <v>34</v>
      </c>
      <c r="C20" s="37"/>
      <c r="D20" s="38"/>
      <c r="E20" s="38"/>
      <c r="F20" s="38"/>
      <c r="G20" s="38" t="s">
        <v>13</v>
      </c>
      <c r="H20" s="38"/>
      <c r="I20" s="38"/>
      <c r="J20" s="38"/>
      <c r="K20" s="39"/>
      <c r="L20" s="1"/>
      <c r="M20" s="1"/>
      <c r="N20" s="2" t="s">
        <v>35</v>
      </c>
      <c r="O20" s="37"/>
      <c r="P20" s="38"/>
      <c r="Q20" s="38"/>
      <c r="R20" s="38"/>
      <c r="S20" s="38" t="s">
        <v>13</v>
      </c>
      <c r="T20" s="38"/>
      <c r="U20" s="38"/>
      <c r="V20" s="38"/>
      <c r="W20" s="39"/>
    </row>
    <row r="21" spans="2:23">
      <c r="B21" s="23" t="s">
        <v>25</v>
      </c>
      <c r="C21" s="20"/>
      <c r="D21" s="21" t="s">
        <v>26</v>
      </c>
      <c r="E21" s="22"/>
      <c r="F21" s="23"/>
      <c r="G21" s="21" t="s">
        <v>7</v>
      </c>
      <c r="H21" s="24"/>
      <c r="I21" s="50" t="s">
        <v>34</v>
      </c>
      <c r="J21" s="51"/>
      <c r="K21" s="52"/>
      <c r="L21" s="1"/>
      <c r="M21" s="1"/>
      <c r="N21" s="19" t="s">
        <v>25</v>
      </c>
      <c r="O21" s="20"/>
      <c r="P21" s="21" t="s">
        <v>26</v>
      </c>
      <c r="Q21" s="22"/>
      <c r="R21" s="23"/>
      <c r="S21" s="21" t="s">
        <v>7</v>
      </c>
      <c r="T21" s="24"/>
      <c r="U21" s="50" t="s">
        <v>35</v>
      </c>
      <c r="V21" s="51"/>
      <c r="W21" s="52"/>
    </row>
    <row r="22" spans="2:23">
      <c r="B22" s="40"/>
      <c r="C22" s="40" t="s">
        <v>28</v>
      </c>
      <c r="D22" s="41" t="s">
        <v>29</v>
      </c>
      <c r="E22" s="42" t="s">
        <v>30</v>
      </c>
      <c r="F22" s="29" t="s">
        <v>28</v>
      </c>
      <c r="G22" s="30" t="s">
        <v>29</v>
      </c>
      <c r="H22" s="31" t="s">
        <v>30</v>
      </c>
      <c r="I22" s="32" t="s">
        <v>28</v>
      </c>
      <c r="J22" s="33" t="s">
        <v>29</v>
      </c>
      <c r="K22" s="34" t="s">
        <v>31</v>
      </c>
      <c r="L22" s="1"/>
      <c r="M22" s="1"/>
      <c r="N22" s="5"/>
      <c r="O22" s="26" t="s">
        <v>28</v>
      </c>
      <c r="P22" s="27" t="s">
        <v>29</v>
      </c>
      <c r="Q22" s="28" t="s">
        <v>30</v>
      </c>
      <c r="R22" s="29" t="s">
        <v>28</v>
      </c>
      <c r="S22" s="30" t="s">
        <v>29</v>
      </c>
      <c r="T22" s="31" t="s">
        <v>30</v>
      </c>
      <c r="U22" s="43" t="s">
        <v>28</v>
      </c>
      <c r="V22" s="44" t="s">
        <v>29</v>
      </c>
      <c r="W22" s="45" t="s">
        <v>31</v>
      </c>
    </row>
    <row r="23" spans="2:23">
      <c r="B23" s="19">
        <v>2007</v>
      </c>
      <c r="C23" s="3">
        <v>10</v>
      </c>
      <c r="D23" s="3">
        <v>9</v>
      </c>
      <c r="E23" s="3">
        <f t="shared" ref="E23:E32" si="8">SUM(C23:D23)</f>
        <v>19</v>
      </c>
      <c r="F23" s="3">
        <v>990</v>
      </c>
      <c r="G23" s="36">
        <v>937</v>
      </c>
      <c r="H23" s="3">
        <v>1927</v>
      </c>
      <c r="I23" s="4">
        <f t="shared" ref="I23:K27" si="9">C23/F23*1000</f>
        <v>10.101010101010102</v>
      </c>
      <c r="J23" s="4">
        <f t="shared" si="9"/>
        <v>9.6051227321237995</v>
      </c>
      <c r="K23" s="4">
        <f t="shared" si="9"/>
        <v>9.8598858329008827</v>
      </c>
      <c r="L23" s="1"/>
      <c r="M23" s="1"/>
      <c r="N23" s="26">
        <v>2007</v>
      </c>
      <c r="O23" s="3">
        <f>10+3</f>
        <v>13</v>
      </c>
      <c r="P23" s="3">
        <f>9+2</f>
        <v>11</v>
      </c>
      <c r="Q23" s="3">
        <f t="shared" ref="Q23:Q32" si="10">SUM(O23:P23)</f>
        <v>24</v>
      </c>
      <c r="R23" s="3">
        <v>990</v>
      </c>
      <c r="S23" s="36">
        <v>937</v>
      </c>
      <c r="T23" s="3">
        <v>1927</v>
      </c>
      <c r="U23" s="4">
        <f t="shared" ref="U23:U32" si="11">O23/R23*1000</f>
        <v>13.131313131313131</v>
      </c>
      <c r="V23" s="4">
        <f t="shared" ref="V23:V32" si="12">P23/S23*1000</f>
        <v>11.739594450373533</v>
      </c>
      <c r="W23" s="4">
        <f t="shared" ref="W23:W32" si="13">Q23/T23*1000</f>
        <v>12.454592631032694</v>
      </c>
    </row>
    <row r="24" spans="2:23">
      <c r="B24" s="35">
        <v>2008</v>
      </c>
      <c r="C24" s="3">
        <v>14</v>
      </c>
      <c r="D24" s="3">
        <v>13</v>
      </c>
      <c r="E24" s="3">
        <f t="shared" si="8"/>
        <v>27</v>
      </c>
      <c r="F24" s="3">
        <v>1040</v>
      </c>
      <c r="G24" s="36">
        <v>976</v>
      </c>
      <c r="H24" s="3">
        <v>2016</v>
      </c>
      <c r="I24" s="4">
        <f t="shared" si="9"/>
        <v>13.461538461538462</v>
      </c>
      <c r="J24" s="4">
        <f t="shared" si="9"/>
        <v>13.31967213114754</v>
      </c>
      <c r="K24" s="4">
        <f t="shared" si="9"/>
        <v>13.392857142857142</v>
      </c>
      <c r="L24" s="1"/>
      <c r="M24" s="1"/>
      <c r="N24" s="26">
        <v>2008</v>
      </c>
      <c r="O24" s="3">
        <f>14+4</f>
        <v>18</v>
      </c>
      <c r="P24" s="3">
        <f>13+3</f>
        <v>16</v>
      </c>
      <c r="Q24" s="3">
        <f t="shared" si="10"/>
        <v>34</v>
      </c>
      <c r="R24" s="3">
        <v>1040</v>
      </c>
      <c r="S24" s="36">
        <v>976</v>
      </c>
      <c r="T24" s="3">
        <v>2016</v>
      </c>
      <c r="U24" s="4">
        <f t="shared" si="11"/>
        <v>17.30769230769231</v>
      </c>
      <c r="V24" s="4">
        <f t="shared" si="12"/>
        <v>16.393442622950822</v>
      </c>
      <c r="W24" s="4">
        <f t="shared" si="13"/>
        <v>16.865079365079364</v>
      </c>
    </row>
    <row r="25" spans="2:23">
      <c r="B25" s="35">
        <v>2009</v>
      </c>
      <c r="C25" s="3">
        <v>17</v>
      </c>
      <c r="D25" s="3">
        <v>20</v>
      </c>
      <c r="E25" s="3">
        <f t="shared" si="8"/>
        <v>37</v>
      </c>
      <c r="F25" s="3">
        <v>1009</v>
      </c>
      <c r="G25" s="36">
        <v>1046</v>
      </c>
      <c r="H25" s="3">
        <v>2055</v>
      </c>
      <c r="I25" s="4">
        <f t="shared" si="9"/>
        <v>16.848364717542122</v>
      </c>
      <c r="J25" s="4">
        <f t="shared" si="9"/>
        <v>19.120458891013385</v>
      </c>
      <c r="K25" s="4">
        <f t="shared" si="9"/>
        <v>18.004866180048662</v>
      </c>
      <c r="L25" s="1"/>
      <c r="M25" s="1"/>
      <c r="N25" s="26">
        <v>2009</v>
      </c>
      <c r="O25" s="3">
        <f>17+6</f>
        <v>23</v>
      </c>
      <c r="P25" s="3">
        <f>20+1</f>
        <v>21</v>
      </c>
      <c r="Q25" s="3">
        <f t="shared" si="10"/>
        <v>44</v>
      </c>
      <c r="R25" s="3">
        <v>1009</v>
      </c>
      <c r="S25" s="36">
        <v>1046</v>
      </c>
      <c r="T25" s="3">
        <v>2055</v>
      </c>
      <c r="U25" s="4">
        <f t="shared" si="11"/>
        <v>22.794846382556987</v>
      </c>
      <c r="V25" s="4">
        <f t="shared" si="12"/>
        <v>20.076481835564053</v>
      </c>
      <c r="W25" s="4">
        <f t="shared" si="13"/>
        <v>21.411192214111921</v>
      </c>
    </row>
    <row r="26" spans="2:23">
      <c r="B26" s="35">
        <v>2010</v>
      </c>
      <c r="C26" s="3">
        <v>24</v>
      </c>
      <c r="D26" s="36">
        <v>14</v>
      </c>
      <c r="E26" s="3">
        <f t="shared" si="8"/>
        <v>38</v>
      </c>
      <c r="F26" s="3">
        <v>1078</v>
      </c>
      <c r="G26" s="36">
        <v>1053</v>
      </c>
      <c r="H26" s="3">
        <v>2131</v>
      </c>
      <c r="I26" s="4">
        <f t="shared" si="9"/>
        <v>22.263450834879407</v>
      </c>
      <c r="J26" s="4">
        <f t="shared" si="9"/>
        <v>13.295346628679962</v>
      </c>
      <c r="K26" s="4">
        <f t="shared" si="9"/>
        <v>17.832003754106054</v>
      </c>
      <c r="L26" s="1"/>
      <c r="M26" s="1"/>
      <c r="N26" s="26">
        <v>2010</v>
      </c>
      <c r="O26" s="3">
        <f>24+8</f>
        <v>32</v>
      </c>
      <c r="P26" s="36">
        <f>14+1</f>
        <v>15</v>
      </c>
      <c r="Q26" s="3">
        <f t="shared" si="10"/>
        <v>47</v>
      </c>
      <c r="R26" s="3">
        <v>1078</v>
      </c>
      <c r="S26" s="36">
        <v>1053</v>
      </c>
      <c r="T26" s="3">
        <v>2131</v>
      </c>
      <c r="U26" s="4">
        <f t="shared" si="11"/>
        <v>29.68460111317254</v>
      </c>
      <c r="V26" s="4">
        <f t="shared" si="12"/>
        <v>14.245014245014245</v>
      </c>
      <c r="W26" s="4">
        <f t="shared" si="13"/>
        <v>22.055373064289068</v>
      </c>
    </row>
    <row r="27" spans="2:23">
      <c r="B27" s="35">
        <v>2011</v>
      </c>
      <c r="C27" s="3">
        <v>13</v>
      </c>
      <c r="D27" s="36">
        <v>16</v>
      </c>
      <c r="E27" s="3">
        <f t="shared" si="8"/>
        <v>29</v>
      </c>
      <c r="F27" s="3">
        <v>1042</v>
      </c>
      <c r="G27" s="36">
        <v>1043</v>
      </c>
      <c r="H27" s="3">
        <v>2085</v>
      </c>
      <c r="I27" s="4">
        <f t="shared" si="9"/>
        <v>12.476007677543185</v>
      </c>
      <c r="J27" s="4">
        <f t="shared" si="9"/>
        <v>15.340364333652923</v>
      </c>
      <c r="K27" s="4">
        <f t="shared" si="9"/>
        <v>13.908872901678656</v>
      </c>
      <c r="L27" s="1"/>
      <c r="M27" s="1"/>
      <c r="N27" s="26">
        <v>2011</v>
      </c>
      <c r="O27" s="3">
        <f>13+5</f>
        <v>18</v>
      </c>
      <c r="P27" s="36">
        <f>16+6</f>
        <v>22</v>
      </c>
      <c r="Q27" s="3">
        <f t="shared" si="10"/>
        <v>40</v>
      </c>
      <c r="R27" s="3">
        <v>1042</v>
      </c>
      <c r="S27" s="36">
        <v>1043</v>
      </c>
      <c r="T27" s="3">
        <v>2085</v>
      </c>
      <c r="U27" s="4">
        <f t="shared" si="11"/>
        <v>17.274472168905952</v>
      </c>
      <c r="V27" s="4">
        <f t="shared" si="12"/>
        <v>21.09300095877277</v>
      </c>
      <c r="W27" s="4">
        <f t="shared" si="13"/>
        <v>19.184652278177456</v>
      </c>
    </row>
    <row r="28" spans="2:23">
      <c r="B28" s="35">
        <v>2012</v>
      </c>
      <c r="C28" s="3">
        <v>11</v>
      </c>
      <c r="D28" s="36">
        <v>19</v>
      </c>
      <c r="E28" s="3">
        <f t="shared" si="8"/>
        <v>30</v>
      </c>
      <c r="F28" s="3">
        <v>1187</v>
      </c>
      <c r="G28" s="36">
        <v>1125</v>
      </c>
      <c r="H28" s="3">
        <v>2312</v>
      </c>
      <c r="I28" s="4">
        <f t="shared" ref="I28:I32" si="14">C28/F28*1000</f>
        <v>9.2670598146588041</v>
      </c>
      <c r="J28" s="4">
        <f t="shared" ref="J28:J32" si="15">D28/G28*1000</f>
        <v>16.888888888888886</v>
      </c>
      <c r="K28" s="4">
        <f>E28/H28*1000</f>
        <v>12.975778546712801</v>
      </c>
      <c r="L28" s="1"/>
      <c r="M28" s="1"/>
      <c r="N28" s="26">
        <v>2012</v>
      </c>
      <c r="O28" s="3">
        <f>11+3</f>
        <v>14</v>
      </c>
      <c r="P28" s="36">
        <f>19+2</f>
        <v>21</v>
      </c>
      <c r="Q28" s="3">
        <f t="shared" si="10"/>
        <v>35</v>
      </c>
      <c r="R28" s="3">
        <v>1187</v>
      </c>
      <c r="S28" s="36">
        <v>1125</v>
      </c>
      <c r="T28" s="3">
        <v>2312</v>
      </c>
      <c r="U28" s="4">
        <f t="shared" si="11"/>
        <v>11.794439764111205</v>
      </c>
      <c r="V28" s="4">
        <f t="shared" si="12"/>
        <v>18.666666666666668</v>
      </c>
      <c r="W28" s="4">
        <f t="shared" si="13"/>
        <v>15.13840830449827</v>
      </c>
    </row>
    <row r="29" spans="2:23">
      <c r="B29" s="35">
        <v>2013</v>
      </c>
      <c r="C29" s="3">
        <v>24</v>
      </c>
      <c r="D29" s="36">
        <v>13</v>
      </c>
      <c r="E29" s="3">
        <f t="shared" si="8"/>
        <v>37</v>
      </c>
      <c r="F29" s="3">
        <v>1198</v>
      </c>
      <c r="G29" s="36">
        <v>1132</v>
      </c>
      <c r="H29" s="3">
        <v>2330</v>
      </c>
      <c r="I29" s="4">
        <f t="shared" si="14"/>
        <v>20.033388981636058</v>
      </c>
      <c r="J29" s="4">
        <f t="shared" si="15"/>
        <v>11.484098939929329</v>
      </c>
      <c r="K29" s="4">
        <f>E29/H29*1000</f>
        <v>15.879828326180258</v>
      </c>
      <c r="L29" s="1"/>
      <c r="M29" s="1"/>
      <c r="N29" s="26">
        <v>2013</v>
      </c>
      <c r="O29" s="3">
        <f>24+3</f>
        <v>27</v>
      </c>
      <c r="P29" s="36">
        <f>13+5</f>
        <v>18</v>
      </c>
      <c r="Q29" s="3">
        <f t="shared" si="10"/>
        <v>45</v>
      </c>
      <c r="R29" s="3">
        <v>1198</v>
      </c>
      <c r="S29" s="36">
        <v>1132</v>
      </c>
      <c r="T29" s="3">
        <v>2330</v>
      </c>
      <c r="U29" s="4">
        <f t="shared" si="11"/>
        <v>22.537562604340568</v>
      </c>
      <c r="V29" s="4">
        <f t="shared" si="12"/>
        <v>15.901060070671377</v>
      </c>
      <c r="W29" s="4">
        <f t="shared" si="13"/>
        <v>19.313304721030043</v>
      </c>
    </row>
    <row r="30" spans="2:23">
      <c r="B30" s="35">
        <v>2014</v>
      </c>
      <c r="C30" s="3">
        <v>21</v>
      </c>
      <c r="D30" s="36">
        <v>20</v>
      </c>
      <c r="E30" s="3">
        <f t="shared" si="8"/>
        <v>41</v>
      </c>
      <c r="F30" s="3">
        <v>1190</v>
      </c>
      <c r="G30" s="36">
        <v>1167</v>
      </c>
      <c r="H30" s="3">
        <v>2357</v>
      </c>
      <c r="I30" s="4">
        <f t="shared" si="14"/>
        <v>17.647058823529413</v>
      </c>
      <c r="J30" s="4">
        <f t="shared" si="15"/>
        <v>17.13796058269066</v>
      </c>
      <c r="K30" s="4">
        <f>E30/H30*1000</f>
        <v>17.394993635977936</v>
      </c>
      <c r="L30" s="1"/>
      <c r="M30" s="1"/>
      <c r="N30" s="26">
        <v>2014</v>
      </c>
      <c r="O30" s="3">
        <f>21+7</f>
        <v>28</v>
      </c>
      <c r="P30" s="36">
        <f>20+1</f>
        <v>21</v>
      </c>
      <c r="Q30" s="3">
        <f t="shared" si="10"/>
        <v>49</v>
      </c>
      <c r="R30" s="3">
        <v>1190</v>
      </c>
      <c r="S30" s="36">
        <v>1167</v>
      </c>
      <c r="T30" s="3">
        <v>2357</v>
      </c>
      <c r="U30" s="4">
        <f t="shared" si="11"/>
        <v>23.52941176470588</v>
      </c>
      <c r="V30" s="4">
        <f t="shared" si="12"/>
        <v>17.994858611825194</v>
      </c>
      <c r="W30" s="4">
        <f t="shared" si="13"/>
        <v>20.78913873568095</v>
      </c>
    </row>
    <row r="31" spans="2:23">
      <c r="B31" s="35">
        <v>2015</v>
      </c>
      <c r="C31" s="3">
        <v>11</v>
      </c>
      <c r="D31" s="36">
        <v>8</v>
      </c>
      <c r="E31" s="3">
        <f t="shared" si="8"/>
        <v>19</v>
      </c>
      <c r="F31" s="3">
        <v>1176</v>
      </c>
      <c r="G31" s="36">
        <v>1203</v>
      </c>
      <c r="H31" s="3">
        <v>2379</v>
      </c>
      <c r="I31" s="4">
        <f t="shared" si="14"/>
        <v>9.353741496598639</v>
      </c>
      <c r="J31" s="4">
        <f t="shared" si="15"/>
        <v>6.6500415627597675</v>
      </c>
      <c r="K31" s="4">
        <f>E31/H31*1000</f>
        <v>7.9865489701555283</v>
      </c>
      <c r="L31" s="1"/>
      <c r="M31" s="1"/>
      <c r="N31" s="26">
        <v>2015</v>
      </c>
      <c r="O31" s="3">
        <f>11+3</f>
        <v>14</v>
      </c>
      <c r="P31" s="36">
        <f>8+0</f>
        <v>8</v>
      </c>
      <c r="Q31" s="3">
        <f t="shared" si="10"/>
        <v>22</v>
      </c>
      <c r="R31" s="3">
        <v>1176</v>
      </c>
      <c r="S31" s="36">
        <v>1203</v>
      </c>
      <c r="T31" s="3">
        <v>2379</v>
      </c>
      <c r="U31" s="4">
        <f t="shared" si="11"/>
        <v>11.904761904761903</v>
      </c>
      <c r="V31" s="4">
        <f t="shared" si="12"/>
        <v>6.6500415627597675</v>
      </c>
      <c r="W31" s="4">
        <f t="shared" si="13"/>
        <v>9.2475830180748222</v>
      </c>
    </row>
    <row r="32" spans="2:23">
      <c r="B32" s="5">
        <v>2016</v>
      </c>
      <c r="C32" s="3">
        <v>23</v>
      </c>
      <c r="D32" s="3">
        <v>14</v>
      </c>
      <c r="E32" s="3">
        <f t="shared" si="8"/>
        <v>37</v>
      </c>
      <c r="F32" s="3">
        <v>1227</v>
      </c>
      <c r="G32" s="3">
        <v>1140</v>
      </c>
      <c r="H32" s="3">
        <v>2367</v>
      </c>
      <c r="I32" s="4">
        <f t="shared" si="14"/>
        <v>18.744906275468622</v>
      </c>
      <c r="J32" s="4">
        <f t="shared" si="15"/>
        <v>12.280701754385966</v>
      </c>
      <c r="K32" s="4">
        <f>E32/H32*1000</f>
        <v>15.631601182931981</v>
      </c>
      <c r="L32" s="1"/>
      <c r="M32" s="1"/>
      <c r="N32" s="40">
        <v>2016</v>
      </c>
      <c r="O32" s="3">
        <f>23+4</f>
        <v>27</v>
      </c>
      <c r="P32" s="3">
        <f>14+1</f>
        <v>15</v>
      </c>
      <c r="Q32" s="3">
        <f t="shared" si="10"/>
        <v>42</v>
      </c>
      <c r="R32" s="3">
        <v>1227</v>
      </c>
      <c r="S32" s="3">
        <v>1140</v>
      </c>
      <c r="T32" s="3">
        <v>2367</v>
      </c>
      <c r="U32" s="4">
        <f t="shared" si="11"/>
        <v>22.004889975550125</v>
      </c>
      <c r="V32" s="4">
        <f t="shared" si="12"/>
        <v>13.157894736842104</v>
      </c>
      <c r="W32" s="4">
        <f t="shared" si="13"/>
        <v>17.743979721166035</v>
      </c>
    </row>
    <row r="33" spans="2:2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>
      <c r="B35" s="2" t="s">
        <v>34</v>
      </c>
      <c r="C35" s="37"/>
      <c r="D35" s="38"/>
      <c r="E35" s="38"/>
      <c r="F35" s="38"/>
      <c r="G35" s="38" t="s">
        <v>14</v>
      </c>
      <c r="H35" s="38"/>
      <c r="I35" s="38"/>
      <c r="J35" s="38"/>
      <c r="K35" s="39"/>
      <c r="L35" s="1"/>
      <c r="M35" s="1"/>
      <c r="N35" s="2" t="s">
        <v>35</v>
      </c>
      <c r="O35" s="37"/>
      <c r="P35" s="38"/>
      <c r="Q35" s="38"/>
      <c r="R35" s="38"/>
      <c r="S35" s="38" t="s">
        <v>14</v>
      </c>
      <c r="T35" s="38"/>
      <c r="U35" s="38"/>
      <c r="V35" s="38"/>
      <c r="W35" s="39"/>
    </row>
    <row r="36" spans="2:23">
      <c r="B36" s="23" t="s">
        <v>25</v>
      </c>
      <c r="C36" s="20"/>
      <c r="D36" s="21" t="s">
        <v>26</v>
      </c>
      <c r="E36" s="22"/>
      <c r="F36" s="23"/>
      <c r="G36" s="21" t="s">
        <v>7</v>
      </c>
      <c r="H36" s="24"/>
      <c r="I36" s="50" t="s">
        <v>34</v>
      </c>
      <c r="J36" s="51"/>
      <c r="K36" s="52"/>
      <c r="L36" s="1"/>
      <c r="M36" s="1"/>
      <c r="N36" s="19" t="s">
        <v>25</v>
      </c>
      <c r="O36" s="20"/>
      <c r="P36" s="21" t="s">
        <v>26</v>
      </c>
      <c r="Q36" s="22"/>
      <c r="R36" s="23"/>
      <c r="S36" s="21" t="s">
        <v>7</v>
      </c>
      <c r="T36" s="24"/>
      <c r="U36" s="50" t="s">
        <v>35</v>
      </c>
      <c r="V36" s="51"/>
      <c r="W36" s="52"/>
    </row>
    <row r="37" spans="2:23">
      <c r="B37" s="40"/>
      <c r="C37" s="40" t="s">
        <v>28</v>
      </c>
      <c r="D37" s="41" t="s">
        <v>29</v>
      </c>
      <c r="E37" s="42" t="s">
        <v>30</v>
      </c>
      <c r="F37" s="29" t="s">
        <v>28</v>
      </c>
      <c r="G37" s="30" t="s">
        <v>29</v>
      </c>
      <c r="H37" s="31" t="s">
        <v>30</v>
      </c>
      <c r="I37" s="32" t="s">
        <v>28</v>
      </c>
      <c r="J37" s="33" t="s">
        <v>29</v>
      </c>
      <c r="K37" s="34" t="s">
        <v>31</v>
      </c>
      <c r="L37" s="1"/>
      <c r="M37" s="1"/>
      <c r="N37" s="5"/>
      <c r="O37" s="26" t="s">
        <v>28</v>
      </c>
      <c r="P37" s="27" t="s">
        <v>29</v>
      </c>
      <c r="Q37" s="28" t="s">
        <v>30</v>
      </c>
      <c r="R37" s="29" t="s">
        <v>28</v>
      </c>
      <c r="S37" s="30" t="s">
        <v>29</v>
      </c>
      <c r="T37" s="31" t="s">
        <v>30</v>
      </c>
      <c r="U37" s="43" t="s">
        <v>28</v>
      </c>
      <c r="V37" s="44" t="s">
        <v>29</v>
      </c>
      <c r="W37" s="45" t="s">
        <v>31</v>
      </c>
    </row>
    <row r="38" spans="2:23">
      <c r="B38" s="19">
        <v>2007</v>
      </c>
      <c r="C38" s="3">
        <v>2</v>
      </c>
      <c r="D38" s="3">
        <v>1</v>
      </c>
      <c r="E38" s="3">
        <f t="shared" ref="E38:E47" si="16">SUM(C38:D38)</f>
        <v>3</v>
      </c>
      <c r="F38" s="3">
        <v>220</v>
      </c>
      <c r="G38" s="3">
        <v>223</v>
      </c>
      <c r="H38" s="3">
        <v>443</v>
      </c>
      <c r="I38" s="4">
        <f t="shared" ref="I38:I47" si="17">C38/F38*1000</f>
        <v>9.0909090909090899</v>
      </c>
      <c r="J38" s="4">
        <f t="shared" ref="J38:J47" si="18">D38/G38*1000</f>
        <v>4.4843049327354256</v>
      </c>
      <c r="K38" s="4">
        <f t="shared" ref="K38:K47" si="19">E38/H38*1000</f>
        <v>6.7720090293453721</v>
      </c>
      <c r="L38" s="1"/>
      <c r="M38" s="1"/>
      <c r="N38" s="26">
        <v>2007</v>
      </c>
      <c r="O38" s="3">
        <f>1+1</f>
        <v>2</v>
      </c>
      <c r="P38" s="3">
        <f>1+2</f>
        <v>3</v>
      </c>
      <c r="Q38" s="3">
        <f t="shared" ref="Q38:Q47" si="20">SUM(O38:P38)</f>
        <v>5</v>
      </c>
      <c r="R38" s="3">
        <v>220</v>
      </c>
      <c r="S38" s="3">
        <v>223</v>
      </c>
      <c r="T38" s="3">
        <v>443</v>
      </c>
      <c r="U38" s="4">
        <f t="shared" ref="U38:U47" si="21">O38/R38*1000</f>
        <v>9.0909090909090899</v>
      </c>
      <c r="V38" s="4">
        <f t="shared" ref="V38:V47" si="22">P38/S38*1000</f>
        <v>13.45291479820628</v>
      </c>
      <c r="W38" s="4">
        <f t="shared" ref="W38:W47" si="23">Q38/T38*1000</f>
        <v>11.286681715575622</v>
      </c>
    </row>
    <row r="39" spans="2:23">
      <c r="B39" s="35">
        <v>2008</v>
      </c>
      <c r="C39" s="3">
        <v>2</v>
      </c>
      <c r="D39" s="3">
        <v>0</v>
      </c>
      <c r="E39" s="3">
        <f t="shared" si="16"/>
        <v>2</v>
      </c>
      <c r="F39" s="3">
        <v>248</v>
      </c>
      <c r="G39" s="36">
        <v>242</v>
      </c>
      <c r="H39" s="3">
        <v>490</v>
      </c>
      <c r="I39" s="4">
        <f t="shared" si="17"/>
        <v>8.064516129032258</v>
      </c>
      <c r="J39" s="4">
        <f t="shared" si="18"/>
        <v>0</v>
      </c>
      <c r="K39" s="4">
        <f t="shared" si="19"/>
        <v>4.0816326530612246</v>
      </c>
      <c r="L39" s="1"/>
      <c r="M39" s="1"/>
      <c r="N39" s="26">
        <v>2008</v>
      </c>
      <c r="O39" s="3">
        <f>2+2</f>
        <v>4</v>
      </c>
      <c r="P39" s="3">
        <f>0+1</f>
        <v>1</v>
      </c>
      <c r="Q39" s="3">
        <f t="shared" si="20"/>
        <v>5</v>
      </c>
      <c r="R39" s="3">
        <v>248</v>
      </c>
      <c r="S39" s="36">
        <v>242</v>
      </c>
      <c r="T39" s="3">
        <v>490</v>
      </c>
      <c r="U39" s="4">
        <f t="shared" si="21"/>
        <v>16.129032258064516</v>
      </c>
      <c r="V39" s="4">
        <f t="shared" si="22"/>
        <v>4.1322314049586781</v>
      </c>
      <c r="W39" s="4">
        <f t="shared" si="23"/>
        <v>10.204081632653061</v>
      </c>
    </row>
    <row r="40" spans="2:23">
      <c r="B40" s="35">
        <v>2009</v>
      </c>
      <c r="C40" s="3">
        <v>0</v>
      </c>
      <c r="D40" s="3">
        <v>4</v>
      </c>
      <c r="E40" s="3">
        <f t="shared" si="16"/>
        <v>4</v>
      </c>
      <c r="F40" s="3">
        <v>224</v>
      </c>
      <c r="G40" s="36">
        <v>250</v>
      </c>
      <c r="H40" s="3">
        <v>474</v>
      </c>
      <c r="I40" s="4">
        <f t="shared" si="17"/>
        <v>0</v>
      </c>
      <c r="J40" s="4">
        <f t="shared" si="18"/>
        <v>16</v>
      </c>
      <c r="K40" s="4">
        <f t="shared" si="19"/>
        <v>8.4388185654008439</v>
      </c>
      <c r="L40" s="1"/>
      <c r="M40" s="1"/>
      <c r="N40" s="26">
        <v>2009</v>
      </c>
      <c r="O40" s="3">
        <f>0+1</f>
        <v>1</v>
      </c>
      <c r="P40" s="3">
        <f>4+1</f>
        <v>5</v>
      </c>
      <c r="Q40" s="3">
        <f t="shared" si="20"/>
        <v>6</v>
      </c>
      <c r="R40" s="3">
        <v>224</v>
      </c>
      <c r="S40" s="36">
        <v>250</v>
      </c>
      <c r="T40" s="3">
        <v>474</v>
      </c>
      <c r="U40" s="4">
        <f t="shared" si="21"/>
        <v>4.4642857142857144</v>
      </c>
      <c r="V40" s="4">
        <f t="shared" si="22"/>
        <v>20</v>
      </c>
      <c r="W40" s="4">
        <f t="shared" si="23"/>
        <v>12.658227848101266</v>
      </c>
    </row>
    <row r="41" spans="2:23">
      <c r="B41" s="35">
        <v>2010</v>
      </c>
      <c r="C41" s="3">
        <v>5</v>
      </c>
      <c r="D41" s="36">
        <v>3</v>
      </c>
      <c r="E41" s="3">
        <f t="shared" si="16"/>
        <v>8</v>
      </c>
      <c r="F41" s="3">
        <v>245</v>
      </c>
      <c r="G41" s="36">
        <v>240</v>
      </c>
      <c r="H41" s="3">
        <v>485</v>
      </c>
      <c r="I41" s="4">
        <f t="shared" si="17"/>
        <v>20.408163265306122</v>
      </c>
      <c r="J41" s="4">
        <f t="shared" si="18"/>
        <v>12.5</v>
      </c>
      <c r="K41" s="4">
        <f t="shared" si="19"/>
        <v>16.494845360824744</v>
      </c>
      <c r="L41" s="1"/>
      <c r="M41" s="1"/>
      <c r="N41" s="26">
        <v>2010</v>
      </c>
      <c r="O41" s="3">
        <f>5+0</f>
        <v>5</v>
      </c>
      <c r="P41" s="36">
        <f>3+0</f>
        <v>3</v>
      </c>
      <c r="Q41" s="3">
        <f t="shared" si="20"/>
        <v>8</v>
      </c>
      <c r="R41" s="3">
        <v>245</v>
      </c>
      <c r="S41" s="36">
        <v>240</v>
      </c>
      <c r="T41" s="3">
        <v>485</v>
      </c>
      <c r="U41" s="4">
        <f t="shared" si="21"/>
        <v>20.408163265306122</v>
      </c>
      <c r="V41" s="4">
        <f t="shared" si="22"/>
        <v>12.5</v>
      </c>
      <c r="W41" s="4">
        <f t="shared" si="23"/>
        <v>16.494845360824744</v>
      </c>
    </row>
    <row r="42" spans="2:23">
      <c r="B42" s="35">
        <v>2011</v>
      </c>
      <c r="C42" s="3">
        <v>7</v>
      </c>
      <c r="D42" s="36">
        <v>3</v>
      </c>
      <c r="E42" s="3">
        <f t="shared" si="16"/>
        <v>10</v>
      </c>
      <c r="F42" s="3">
        <v>224</v>
      </c>
      <c r="G42" s="36">
        <v>254</v>
      </c>
      <c r="H42" s="3">
        <v>478</v>
      </c>
      <c r="I42" s="4">
        <f t="shared" si="17"/>
        <v>31.25</v>
      </c>
      <c r="J42" s="4">
        <f t="shared" si="18"/>
        <v>11.811023622047244</v>
      </c>
      <c r="K42" s="4">
        <f t="shared" si="19"/>
        <v>20.920502092050206</v>
      </c>
      <c r="L42" s="1"/>
      <c r="M42" s="1"/>
      <c r="N42" s="26">
        <v>2011</v>
      </c>
      <c r="O42" s="3">
        <f>7+0</f>
        <v>7</v>
      </c>
      <c r="P42" s="36">
        <f>3+0</f>
        <v>3</v>
      </c>
      <c r="Q42" s="3">
        <f t="shared" si="20"/>
        <v>10</v>
      </c>
      <c r="R42" s="3">
        <v>224</v>
      </c>
      <c r="S42" s="36">
        <v>254</v>
      </c>
      <c r="T42" s="3">
        <v>478</v>
      </c>
      <c r="U42" s="4">
        <f t="shared" si="21"/>
        <v>31.25</v>
      </c>
      <c r="V42" s="4">
        <f t="shared" si="22"/>
        <v>11.811023622047244</v>
      </c>
      <c r="W42" s="4">
        <f t="shared" si="23"/>
        <v>20.920502092050206</v>
      </c>
    </row>
    <row r="43" spans="2:23">
      <c r="B43" s="35">
        <v>2012</v>
      </c>
      <c r="C43" s="3">
        <v>2</v>
      </c>
      <c r="D43" s="36">
        <v>2</v>
      </c>
      <c r="E43" s="3">
        <f t="shared" si="16"/>
        <v>4</v>
      </c>
      <c r="F43" s="3">
        <v>244</v>
      </c>
      <c r="G43" s="36">
        <v>189</v>
      </c>
      <c r="H43" s="3">
        <v>433</v>
      </c>
      <c r="I43" s="4">
        <f t="shared" si="17"/>
        <v>8.1967213114754109</v>
      </c>
      <c r="J43" s="4">
        <f t="shared" si="18"/>
        <v>10.582010582010582</v>
      </c>
      <c r="K43" s="4">
        <f t="shared" si="19"/>
        <v>9.2378752886836022</v>
      </c>
      <c r="L43" s="1"/>
      <c r="M43" s="1"/>
      <c r="N43" s="26">
        <v>2012</v>
      </c>
      <c r="O43" s="3">
        <f>2+1</f>
        <v>3</v>
      </c>
      <c r="P43" s="36">
        <f>2+0</f>
        <v>2</v>
      </c>
      <c r="Q43" s="3">
        <f t="shared" si="20"/>
        <v>5</v>
      </c>
      <c r="R43" s="3">
        <v>244</v>
      </c>
      <c r="S43" s="36">
        <v>189</v>
      </c>
      <c r="T43" s="3">
        <v>433</v>
      </c>
      <c r="U43" s="4">
        <f t="shared" si="21"/>
        <v>12.295081967213115</v>
      </c>
      <c r="V43" s="4">
        <f t="shared" si="22"/>
        <v>10.582010582010582</v>
      </c>
      <c r="W43" s="4">
        <f t="shared" si="23"/>
        <v>11.547344110854503</v>
      </c>
    </row>
    <row r="44" spans="2:23">
      <c r="B44" s="35">
        <v>2013</v>
      </c>
      <c r="C44" s="3">
        <v>5</v>
      </c>
      <c r="D44" s="36">
        <v>2</v>
      </c>
      <c r="E44" s="3">
        <f t="shared" si="16"/>
        <v>7</v>
      </c>
      <c r="F44" s="3">
        <v>237</v>
      </c>
      <c r="G44" s="36">
        <v>188</v>
      </c>
      <c r="H44" s="3">
        <v>425</v>
      </c>
      <c r="I44" s="4">
        <f t="shared" si="17"/>
        <v>21.09704641350211</v>
      </c>
      <c r="J44" s="4">
        <f t="shared" si="18"/>
        <v>10.638297872340425</v>
      </c>
      <c r="K44" s="4">
        <f t="shared" si="19"/>
        <v>16.47058823529412</v>
      </c>
      <c r="L44" s="1"/>
      <c r="M44" s="1"/>
      <c r="N44" s="26">
        <v>2013</v>
      </c>
      <c r="O44" s="3">
        <f>5+0</f>
        <v>5</v>
      </c>
      <c r="P44" s="36">
        <f>2+1</f>
        <v>3</v>
      </c>
      <c r="Q44" s="3">
        <f t="shared" si="20"/>
        <v>8</v>
      </c>
      <c r="R44" s="3">
        <v>237</v>
      </c>
      <c r="S44" s="36">
        <v>188</v>
      </c>
      <c r="T44" s="3">
        <v>425</v>
      </c>
      <c r="U44" s="4">
        <f t="shared" si="21"/>
        <v>21.09704641350211</v>
      </c>
      <c r="V44" s="4">
        <f t="shared" si="22"/>
        <v>15.957446808510637</v>
      </c>
      <c r="W44" s="4">
        <f t="shared" si="23"/>
        <v>18.823529411764703</v>
      </c>
    </row>
    <row r="45" spans="2:23">
      <c r="B45" s="35">
        <v>2014</v>
      </c>
      <c r="C45" s="3">
        <v>0</v>
      </c>
      <c r="D45" s="36">
        <v>3</v>
      </c>
      <c r="E45" s="3">
        <f t="shared" si="16"/>
        <v>3</v>
      </c>
      <c r="F45" s="3">
        <v>240</v>
      </c>
      <c r="G45" s="36">
        <v>215</v>
      </c>
      <c r="H45" s="3">
        <v>455</v>
      </c>
      <c r="I45" s="4">
        <f t="shared" si="17"/>
        <v>0</v>
      </c>
      <c r="J45" s="4">
        <f t="shared" si="18"/>
        <v>13.953488372093023</v>
      </c>
      <c r="K45" s="4">
        <f t="shared" si="19"/>
        <v>6.5934065934065931</v>
      </c>
      <c r="L45" s="1"/>
      <c r="M45" s="1"/>
      <c r="N45" s="26">
        <v>2014</v>
      </c>
      <c r="O45" s="3">
        <f>0+1</f>
        <v>1</v>
      </c>
      <c r="P45" s="36">
        <f>3+0</f>
        <v>3</v>
      </c>
      <c r="Q45" s="3">
        <f t="shared" si="20"/>
        <v>4</v>
      </c>
      <c r="R45" s="3">
        <v>240</v>
      </c>
      <c r="S45" s="36">
        <v>215</v>
      </c>
      <c r="T45" s="3">
        <v>455</v>
      </c>
      <c r="U45" s="4">
        <f t="shared" si="21"/>
        <v>4.166666666666667</v>
      </c>
      <c r="V45" s="4">
        <f t="shared" si="22"/>
        <v>13.953488372093023</v>
      </c>
      <c r="W45" s="4">
        <f t="shared" si="23"/>
        <v>8.791208791208792</v>
      </c>
    </row>
    <row r="46" spans="2:23">
      <c r="B46" s="35">
        <v>2015</v>
      </c>
      <c r="C46" s="3">
        <v>2</v>
      </c>
      <c r="D46" s="36">
        <v>3</v>
      </c>
      <c r="E46" s="3">
        <f t="shared" si="16"/>
        <v>5</v>
      </c>
      <c r="F46" s="3">
        <v>200</v>
      </c>
      <c r="G46" s="36">
        <v>226</v>
      </c>
      <c r="H46" s="3">
        <v>426</v>
      </c>
      <c r="I46" s="4">
        <f t="shared" si="17"/>
        <v>10</v>
      </c>
      <c r="J46" s="4">
        <f t="shared" si="18"/>
        <v>13.274336283185841</v>
      </c>
      <c r="K46" s="4">
        <f t="shared" si="19"/>
        <v>11.737089201877934</v>
      </c>
      <c r="L46" s="1"/>
      <c r="M46" s="1"/>
      <c r="N46" s="26">
        <v>2015</v>
      </c>
      <c r="O46" s="3">
        <f>2+1</f>
        <v>3</v>
      </c>
      <c r="P46" s="36">
        <f>3+0</f>
        <v>3</v>
      </c>
      <c r="Q46" s="3">
        <f t="shared" si="20"/>
        <v>6</v>
      </c>
      <c r="R46" s="3">
        <v>200</v>
      </c>
      <c r="S46" s="36">
        <v>226</v>
      </c>
      <c r="T46" s="3">
        <v>426</v>
      </c>
      <c r="U46" s="4">
        <f t="shared" si="21"/>
        <v>15</v>
      </c>
      <c r="V46" s="4">
        <f t="shared" si="22"/>
        <v>13.274336283185841</v>
      </c>
      <c r="W46" s="4">
        <f t="shared" si="23"/>
        <v>14.084507042253522</v>
      </c>
    </row>
    <row r="47" spans="2:23">
      <c r="B47" s="5">
        <v>2016</v>
      </c>
      <c r="C47" s="3">
        <v>2</v>
      </c>
      <c r="D47" s="3">
        <v>1</v>
      </c>
      <c r="E47" s="3">
        <f t="shared" si="16"/>
        <v>3</v>
      </c>
      <c r="F47" s="3">
        <v>225</v>
      </c>
      <c r="G47" s="3">
        <v>201</v>
      </c>
      <c r="H47" s="3">
        <v>426</v>
      </c>
      <c r="I47" s="4">
        <f t="shared" si="17"/>
        <v>8.8888888888888893</v>
      </c>
      <c r="J47" s="4">
        <f t="shared" si="18"/>
        <v>4.9751243781094523</v>
      </c>
      <c r="K47" s="4">
        <f t="shared" si="19"/>
        <v>7.042253521126761</v>
      </c>
      <c r="L47" s="1"/>
      <c r="M47" s="1"/>
      <c r="N47" s="40">
        <v>2016</v>
      </c>
      <c r="O47" s="3">
        <f>2+0</f>
        <v>2</v>
      </c>
      <c r="P47" s="3">
        <f>1+1</f>
        <v>2</v>
      </c>
      <c r="Q47" s="3">
        <f t="shared" si="20"/>
        <v>4</v>
      </c>
      <c r="R47" s="3">
        <v>225</v>
      </c>
      <c r="S47" s="3">
        <v>201</v>
      </c>
      <c r="T47" s="3">
        <v>426</v>
      </c>
      <c r="U47" s="4">
        <f t="shared" si="21"/>
        <v>8.8888888888888893</v>
      </c>
      <c r="V47" s="4">
        <f t="shared" si="22"/>
        <v>9.9502487562189046</v>
      </c>
      <c r="W47" s="4">
        <f t="shared" si="23"/>
        <v>9.3896713615023479</v>
      </c>
    </row>
    <row r="48" spans="2:2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>
      <c r="B50" s="2" t="s">
        <v>34</v>
      </c>
      <c r="C50" s="37"/>
      <c r="D50" s="38"/>
      <c r="E50" s="38"/>
      <c r="F50" s="38"/>
      <c r="G50" s="38" t="s">
        <v>15</v>
      </c>
      <c r="H50" s="38"/>
      <c r="I50" s="38"/>
      <c r="J50" s="38"/>
      <c r="K50" s="39"/>
      <c r="L50" s="1"/>
      <c r="M50" s="1"/>
      <c r="N50" s="2" t="s">
        <v>35</v>
      </c>
      <c r="O50" s="37"/>
      <c r="P50" s="38"/>
      <c r="Q50" s="38"/>
      <c r="R50" s="38"/>
      <c r="S50" s="38" t="s">
        <v>15</v>
      </c>
      <c r="T50" s="38"/>
      <c r="U50" s="38"/>
      <c r="V50" s="38"/>
      <c r="W50" s="39"/>
    </row>
    <row r="51" spans="2:23">
      <c r="B51" s="23" t="s">
        <v>25</v>
      </c>
      <c r="C51" s="20"/>
      <c r="D51" s="21" t="s">
        <v>26</v>
      </c>
      <c r="E51" s="22"/>
      <c r="F51" s="23"/>
      <c r="G51" s="21" t="s">
        <v>7</v>
      </c>
      <c r="H51" s="24"/>
      <c r="I51" s="50" t="s">
        <v>34</v>
      </c>
      <c r="J51" s="51"/>
      <c r="K51" s="52"/>
      <c r="L51" s="1"/>
      <c r="M51" s="1"/>
      <c r="N51" s="19" t="s">
        <v>25</v>
      </c>
      <c r="O51" s="20"/>
      <c r="P51" s="21" t="s">
        <v>26</v>
      </c>
      <c r="Q51" s="22"/>
      <c r="R51" s="23"/>
      <c r="S51" s="21" t="s">
        <v>7</v>
      </c>
      <c r="T51" s="24"/>
      <c r="U51" s="50" t="s">
        <v>35</v>
      </c>
      <c r="V51" s="51"/>
      <c r="W51" s="52"/>
    </row>
    <row r="52" spans="2:23">
      <c r="B52" s="40"/>
      <c r="C52" s="40" t="s">
        <v>28</v>
      </c>
      <c r="D52" s="41" t="s">
        <v>29</v>
      </c>
      <c r="E52" s="42" t="s">
        <v>30</v>
      </c>
      <c r="F52" s="29" t="s">
        <v>28</v>
      </c>
      <c r="G52" s="30" t="s">
        <v>29</v>
      </c>
      <c r="H52" s="31" t="s">
        <v>30</v>
      </c>
      <c r="I52" s="32" t="s">
        <v>28</v>
      </c>
      <c r="J52" s="33" t="s">
        <v>29</v>
      </c>
      <c r="K52" s="34" t="s">
        <v>31</v>
      </c>
      <c r="L52" s="1"/>
      <c r="M52" s="1"/>
      <c r="N52" s="5"/>
      <c r="O52" s="26" t="s">
        <v>28</v>
      </c>
      <c r="P52" s="27" t="s">
        <v>29</v>
      </c>
      <c r="Q52" s="28" t="s">
        <v>30</v>
      </c>
      <c r="R52" s="29" t="s">
        <v>28</v>
      </c>
      <c r="S52" s="30" t="s">
        <v>29</v>
      </c>
      <c r="T52" s="31" t="s">
        <v>30</v>
      </c>
      <c r="U52" s="43" t="s">
        <v>28</v>
      </c>
      <c r="V52" s="44" t="s">
        <v>29</v>
      </c>
      <c r="W52" s="45" t="s">
        <v>31</v>
      </c>
    </row>
    <row r="53" spans="2:23">
      <c r="B53" s="19">
        <v>2007</v>
      </c>
      <c r="C53" s="3">
        <v>0</v>
      </c>
      <c r="D53" s="3">
        <v>0</v>
      </c>
      <c r="E53" s="3">
        <f t="shared" ref="E53:E62" si="24">SUM(C53:D53)</f>
        <v>0</v>
      </c>
      <c r="F53" s="3">
        <v>14</v>
      </c>
      <c r="G53" s="3">
        <v>21</v>
      </c>
      <c r="H53" s="3">
        <v>35</v>
      </c>
      <c r="I53" s="4">
        <f t="shared" ref="I53:I62" si="25">C53/F53*1000</f>
        <v>0</v>
      </c>
      <c r="J53" s="4">
        <f t="shared" ref="J53:J62" si="26">D53/G53*1000</f>
        <v>0</v>
      </c>
      <c r="K53" s="4">
        <f t="shared" ref="K53:K62" si="27">E53/H53*1000</f>
        <v>0</v>
      </c>
      <c r="L53" s="1"/>
      <c r="M53" s="1"/>
      <c r="N53" s="26">
        <v>2007</v>
      </c>
      <c r="O53" s="3">
        <f>0+0</f>
        <v>0</v>
      </c>
      <c r="P53" s="3">
        <f>0+0</f>
        <v>0</v>
      </c>
      <c r="Q53" s="3">
        <f t="shared" ref="Q53:Q62" si="28">SUM(O53:P53)</f>
        <v>0</v>
      </c>
      <c r="R53" s="3">
        <v>14</v>
      </c>
      <c r="S53" s="3">
        <v>21</v>
      </c>
      <c r="T53" s="3">
        <v>35</v>
      </c>
      <c r="U53" s="4">
        <f t="shared" ref="U53:U62" si="29">O53/R53*1000</f>
        <v>0</v>
      </c>
      <c r="V53" s="4">
        <f t="shared" ref="V53:V62" si="30">P53/S53*1000</f>
        <v>0</v>
      </c>
      <c r="W53" s="4">
        <f t="shared" ref="W53:W62" si="31">Q53/T53*1000</f>
        <v>0</v>
      </c>
    </row>
    <row r="54" spans="2:23">
      <c r="B54" s="35">
        <v>2008</v>
      </c>
      <c r="C54" s="3">
        <f>1</f>
        <v>1</v>
      </c>
      <c r="D54" s="3">
        <v>0</v>
      </c>
      <c r="E54" s="3">
        <f t="shared" si="24"/>
        <v>1</v>
      </c>
      <c r="F54" s="3">
        <v>20</v>
      </c>
      <c r="G54" s="36">
        <v>24</v>
      </c>
      <c r="H54" s="3">
        <v>44</v>
      </c>
      <c r="I54" s="4">
        <f t="shared" si="25"/>
        <v>50</v>
      </c>
      <c r="J54" s="4">
        <f t="shared" si="26"/>
        <v>0</v>
      </c>
      <c r="K54" s="4">
        <f t="shared" si="27"/>
        <v>22.727272727272727</v>
      </c>
      <c r="L54" s="1"/>
      <c r="M54" s="1"/>
      <c r="N54" s="26">
        <v>2008</v>
      </c>
      <c r="O54" s="3">
        <f>1+0</f>
        <v>1</v>
      </c>
      <c r="P54" s="3">
        <f t="shared" ref="P54:P62" si="32">0+0</f>
        <v>0</v>
      </c>
      <c r="Q54" s="3">
        <f t="shared" si="28"/>
        <v>1</v>
      </c>
      <c r="R54" s="3">
        <v>20</v>
      </c>
      <c r="S54" s="36">
        <v>24</v>
      </c>
      <c r="T54" s="3">
        <v>44</v>
      </c>
      <c r="U54" s="4">
        <f t="shared" si="29"/>
        <v>50</v>
      </c>
      <c r="V54" s="4">
        <f t="shared" si="30"/>
        <v>0</v>
      </c>
      <c r="W54" s="4">
        <f t="shared" si="31"/>
        <v>22.727272727272727</v>
      </c>
    </row>
    <row r="55" spans="2:23">
      <c r="B55" s="35">
        <v>2009</v>
      </c>
      <c r="C55" s="3">
        <v>0</v>
      </c>
      <c r="D55" s="3">
        <v>0</v>
      </c>
      <c r="E55" s="3">
        <f t="shared" si="24"/>
        <v>0</v>
      </c>
      <c r="F55" s="3">
        <v>12</v>
      </c>
      <c r="G55" s="36">
        <v>11</v>
      </c>
      <c r="H55" s="3">
        <v>23</v>
      </c>
      <c r="I55" s="4">
        <f t="shared" si="25"/>
        <v>0</v>
      </c>
      <c r="J55" s="4">
        <f t="shared" si="26"/>
        <v>0</v>
      </c>
      <c r="K55" s="4">
        <f t="shared" si="27"/>
        <v>0</v>
      </c>
      <c r="L55" s="1"/>
      <c r="M55" s="1"/>
      <c r="N55" s="26">
        <v>2009</v>
      </c>
      <c r="O55" s="3">
        <f>0+0</f>
        <v>0</v>
      </c>
      <c r="P55" s="3">
        <f t="shared" si="32"/>
        <v>0</v>
      </c>
      <c r="Q55" s="3">
        <f t="shared" si="28"/>
        <v>0</v>
      </c>
      <c r="R55" s="3">
        <v>12</v>
      </c>
      <c r="S55" s="36">
        <v>11</v>
      </c>
      <c r="T55" s="3">
        <v>23</v>
      </c>
      <c r="U55" s="4">
        <f t="shared" si="29"/>
        <v>0</v>
      </c>
      <c r="V55" s="4">
        <f t="shared" si="30"/>
        <v>0</v>
      </c>
      <c r="W55" s="4">
        <f t="shared" si="31"/>
        <v>0</v>
      </c>
    </row>
    <row r="56" spans="2:23">
      <c r="B56" s="35">
        <v>2010</v>
      </c>
      <c r="C56" s="3">
        <v>1</v>
      </c>
      <c r="D56" s="36">
        <v>0</v>
      </c>
      <c r="E56" s="3">
        <f t="shared" si="24"/>
        <v>1</v>
      </c>
      <c r="F56" s="3">
        <v>23</v>
      </c>
      <c r="G56" s="36">
        <v>17</v>
      </c>
      <c r="H56" s="3">
        <v>40</v>
      </c>
      <c r="I56" s="4">
        <f t="shared" si="25"/>
        <v>43.478260869565219</v>
      </c>
      <c r="J56" s="4">
        <f t="shared" si="26"/>
        <v>0</v>
      </c>
      <c r="K56" s="4">
        <f t="shared" si="27"/>
        <v>25</v>
      </c>
      <c r="L56" s="1"/>
      <c r="M56" s="1"/>
      <c r="N56" s="26">
        <v>2010</v>
      </c>
      <c r="O56" s="3">
        <f>1+0</f>
        <v>1</v>
      </c>
      <c r="P56" s="36">
        <f t="shared" si="32"/>
        <v>0</v>
      </c>
      <c r="Q56" s="3">
        <f t="shared" si="28"/>
        <v>1</v>
      </c>
      <c r="R56" s="3">
        <v>23</v>
      </c>
      <c r="S56" s="36">
        <v>17</v>
      </c>
      <c r="T56" s="3">
        <v>40</v>
      </c>
      <c r="U56" s="4">
        <f t="shared" si="29"/>
        <v>43.478260869565219</v>
      </c>
      <c r="V56" s="4">
        <f t="shared" si="30"/>
        <v>0</v>
      </c>
      <c r="W56" s="4">
        <f t="shared" si="31"/>
        <v>25</v>
      </c>
    </row>
    <row r="57" spans="2:23">
      <c r="B57" s="35">
        <v>2011</v>
      </c>
      <c r="C57" s="3">
        <v>0</v>
      </c>
      <c r="D57" s="36">
        <v>0</v>
      </c>
      <c r="E57" s="3">
        <f t="shared" si="24"/>
        <v>0</v>
      </c>
      <c r="F57" s="3">
        <v>27</v>
      </c>
      <c r="G57" s="36">
        <v>28</v>
      </c>
      <c r="H57" s="3">
        <v>55</v>
      </c>
      <c r="I57" s="4">
        <f t="shared" si="25"/>
        <v>0</v>
      </c>
      <c r="J57" s="4">
        <f t="shared" si="26"/>
        <v>0</v>
      </c>
      <c r="K57" s="4">
        <f t="shared" si="27"/>
        <v>0</v>
      </c>
      <c r="L57" s="1"/>
      <c r="M57" s="1"/>
      <c r="N57" s="26">
        <v>2011</v>
      </c>
      <c r="O57" s="3">
        <f>0+0</f>
        <v>0</v>
      </c>
      <c r="P57" s="36">
        <f t="shared" si="32"/>
        <v>0</v>
      </c>
      <c r="Q57" s="3">
        <f t="shared" si="28"/>
        <v>0</v>
      </c>
      <c r="R57" s="3">
        <v>27</v>
      </c>
      <c r="S57" s="36">
        <v>28</v>
      </c>
      <c r="T57" s="3">
        <v>55</v>
      </c>
      <c r="U57" s="4">
        <f t="shared" si="29"/>
        <v>0</v>
      </c>
      <c r="V57" s="4">
        <f t="shared" si="30"/>
        <v>0</v>
      </c>
      <c r="W57" s="4">
        <f t="shared" si="31"/>
        <v>0</v>
      </c>
    </row>
    <row r="58" spans="2:23">
      <c r="B58" s="35">
        <v>2012</v>
      </c>
      <c r="C58" s="3">
        <v>1</v>
      </c>
      <c r="D58" s="36">
        <v>0</v>
      </c>
      <c r="E58" s="3">
        <f t="shared" si="24"/>
        <v>1</v>
      </c>
      <c r="F58" s="3">
        <v>24</v>
      </c>
      <c r="G58" s="36">
        <v>21</v>
      </c>
      <c r="H58" s="3">
        <v>45</v>
      </c>
      <c r="I58" s="4">
        <f t="shared" si="25"/>
        <v>41.666666666666664</v>
      </c>
      <c r="J58" s="4">
        <f t="shared" si="26"/>
        <v>0</v>
      </c>
      <c r="K58" s="4">
        <f t="shared" si="27"/>
        <v>22.222222222222221</v>
      </c>
      <c r="L58" s="1"/>
      <c r="M58" s="1"/>
      <c r="N58" s="26">
        <v>2012</v>
      </c>
      <c r="O58" s="3">
        <f>1+0</f>
        <v>1</v>
      </c>
      <c r="P58" s="36">
        <f t="shared" si="32"/>
        <v>0</v>
      </c>
      <c r="Q58" s="3">
        <f t="shared" si="28"/>
        <v>1</v>
      </c>
      <c r="R58" s="3">
        <v>24</v>
      </c>
      <c r="S58" s="36">
        <v>21</v>
      </c>
      <c r="T58" s="3">
        <v>45</v>
      </c>
      <c r="U58" s="4">
        <f t="shared" si="29"/>
        <v>41.666666666666664</v>
      </c>
      <c r="V58" s="4">
        <f t="shared" si="30"/>
        <v>0</v>
      </c>
      <c r="W58" s="4">
        <f t="shared" si="31"/>
        <v>22.222222222222221</v>
      </c>
    </row>
    <row r="59" spans="2:23">
      <c r="B59" s="35">
        <v>2013</v>
      </c>
      <c r="C59" s="3">
        <v>0</v>
      </c>
      <c r="D59" s="36">
        <v>0</v>
      </c>
      <c r="E59" s="3">
        <f t="shared" si="24"/>
        <v>0</v>
      </c>
      <c r="F59" s="3">
        <v>20</v>
      </c>
      <c r="G59" s="36">
        <v>25</v>
      </c>
      <c r="H59" s="3">
        <v>45</v>
      </c>
      <c r="I59" s="4">
        <f t="shared" si="25"/>
        <v>0</v>
      </c>
      <c r="J59" s="4">
        <f t="shared" si="26"/>
        <v>0</v>
      </c>
      <c r="K59" s="4">
        <f t="shared" si="27"/>
        <v>0</v>
      </c>
      <c r="L59" s="1"/>
      <c r="M59" s="1"/>
      <c r="N59" s="26">
        <v>2013</v>
      </c>
      <c r="O59" s="3">
        <f>0+0</f>
        <v>0</v>
      </c>
      <c r="P59" s="36">
        <f t="shared" si="32"/>
        <v>0</v>
      </c>
      <c r="Q59" s="3">
        <f t="shared" si="28"/>
        <v>0</v>
      </c>
      <c r="R59" s="3">
        <v>20</v>
      </c>
      <c r="S59" s="36">
        <v>25</v>
      </c>
      <c r="T59" s="3">
        <v>45</v>
      </c>
      <c r="U59" s="4">
        <f t="shared" si="29"/>
        <v>0</v>
      </c>
      <c r="V59" s="4">
        <f t="shared" si="30"/>
        <v>0</v>
      </c>
      <c r="W59" s="4">
        <f t="shared" si="31"/>
        <v>0</v>
      </c>
    </row>
    <row r="60" spans="2:23">
      <c r="B60" s="35">
        <v>2014</v>
      </c>
      <c r="C60" s="3">
        <v>1</v>
      </c>
      <c r="D60" s="36">
        <v>0</v>
      </c>
      <c r="E60" s="3">
        <f t="shared" si="24"/>
        <v>1</v>
      </c>
      <c r="F60" s="3">
        <v>47</v>
      </c>
      <c r="G60" s="36">
        <v>26</v>
      </c>
      <c r="H60" s="3">
        <v>73</v>
      </c>
      <c r="I60" s="4">
        <f t="shared" si="25"/>
        <v>21.276595744680851</v>
      </c>
      <c r="J60" s="4">
        <f t="shared" si="26"/>
        <v>0</v>
      </c>
      <c r="K60" s="4">
        <f t="shared" si="27"/>
        <v>13.698630136986301</v>
      </c>
      <c r="L60" s="1"/>
      <c r="M60" s="1"/>
      <c r="N60" s="26">
        <v>2014</v>
      </c>
      <c r="O60" s="3">
        <f>1+0</f>
        <v>1</v>
      </c>
      <c r="P60" s="36">
        <f t="shared" si="32"/>
        <v>0</v>
      </c>
      <c r="Q60" s="3">
        <f t="shared" si="28"/>
        <v>1</v>
      </c>
      <c r="R60" s="3">
        <v>47</v>
      </c>
      <c r="S60" s="36">
        <v>26</v>
      </c>
      <c r="T60" s="3">
        <v>73</v>
      </c>
      <c r="U60" s="4">
        <f t="shared" si="29"/>
        <v>21.276595744680851</v>
      </c>
      <c r="V60" s="4">
        <f t="shared" si="30"/>
        <v>0</v>
      </c>
      <c r="W60" s="4">
        <f t="shared" si="31"/>
        <v>13.698630136986301</v>
      </c>
    </row>
    <row r="61" spans="2:23">
      <c r="B61" s="35">
        <v>2015</v>
      </c>
      <c r="C61" s="3">
        <v>1</v>
      </c>
      <c r="D61" s="36">
        <v>0</v>
      </c>
      <c r="E61" s="3">
        <f t="shared" si="24"/>
        <v>1</v>
      </c>
      <c r="F61" s="3">
        <v>13</v>
      </c>
      <c r="G61" s="36">
        <v>16</v>
      </c>
      <c r="H61" s="3">
        <v>29</v>
      </c>
      <c r="I61" s="4">
        <f t="shared" si="25"/>
        <v>76.923076923076934</v>
      </c>
      <c r="J61" s="4">
        <f t="shared" si="26"/>
        <v>0</v>
      </c>
      <c r="K61" s="4">
        <f t="shared" si="27"/>
        <v>34.482758620689651</v>
      </c>
      <c r="L61" s="1"/>
      <c r="M61" s="1"/>
      <c r="N61" s="26">
        <v>2015</v>
      </c>
      <c r="O61" s="3">
        <f>1+0</f>
        <v>1</v>
      </c>
      <c r="P61" s="36">
        <f t="shared" si="32"/>
        <v>0</v>
      </c>
      <c r="Q61" s="3">
        <f t="shared" si="28"/>
        <v>1</v>
      </c>
      <c r="R61" s="3">
        <v>13</v>
      </c>
      <c r="S61" s="36">
        <v>16</v>
      </c>
      <c r="T61" s="3">
        <v>29</v>
      </c>
      <c r="U61" s="4">
        <f t="shared" si="29"/>
        <v>76.923076923076934</v>
      </c>
      <c r="V61" s="4">
        <f t="shared" si="30"/>
        <v>0</v>
      </c>
      <c r="W61" s="4">
        <f t="shared" si="31"/>
        <v>34.482758620689651</v>
      </c>
    </row>
    <row r="62" spans="2:23">
      <c r="B62" s="5">
        <v>2016</v>
      </c>
      <c r="C62" s="3">
        <v>1</v>
      </c>
      <c r="D62" s="3">
        <v>0</v>
      </c>
      <c r="E62" s="3">
        <f t="shared" si="24"/>
        <v>1</v>
      </c>
      <c r="F62" s="3">
        <v>26</v>
      </c>
      <c r="G62" s="3">
        <v>23</v>
      </c>
      <c r="H62" s="3">
        <v>49</v>
      </c>
      <c r="I62" s="4">
        <f t="shared" si="25"/>
        <v>38.461538461538467</v>
      </c>
      <c r="J62" s="4">
        <f t="shared" si="26"/>
        <v>0</v>
      </c>
      <c r="K62" s="4">
        <f t="shared" si="27"/>
        <v>20.408163265306122</v>
      </c>
      <c r="L62" s="1"/>
      <c r="M62" s="1"/>
      <c r="N62" s="40">
        <v>2016</v>
      </c>
      <c r="O62" s="3">
        <f>1+1</f>
        <v>2</v>
      </c>
      <c r="P62" s="3">
        <f t="shared" si="32"/>
        <v>0</v>
      </c>
      <c r="Q62" s="3">
        <f t="shared" si="28"/>
        <v>2</v>
      </c>
      <c r="R62" s="3">
        <v>26</v>
      </c>
      <c r="S62" s="3">
        <v>23</v>
      </c>
      <c r="T62" s="3">
        <v>49</v>
      </c>
      <c r="U62" s="4">
        <f t="shared" si="29"/>
        <v>76.923076923076934</v>
      </c>
      <c r="V62" s="4">
        <f t="shared" si="30"/>
        <v>0</v>
      </c>
      <c r="W62" s="4">
        <f t="shared" si="31"/>
        <v>40.816326530612244</v>
      </c>
    </row>
    <row r="63" spans="2:2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>
      <c r="B65" s="2" t="s">
        <v>34</v>
      </c>
      <c r="C65" s="37"/>
      <c r="D65" s="38"/>
      <c r="E65" s="38"/>
      <c r="F65" s="38"/>
      <c r="G65" s="38" t="s">
        <v>16</v>
      </c>
      <c r="H65" s="38"/>
      <c r="I65" s="38"/>
      <c r="J65" s="38"/>
      <c r="K65" s="39"/>
      <c r="L65" s="1"/>
      <c r="M65" s="1"/>
      <c r="N65" s="2" t="s">
        <v>35</v>
      </c>
      <c r="O65" s="37"/>
      <c r="P65" s="38"/>
      <c r="Q65" s="38"/>
      <c r="R65" s="38"/>
      <c r="S65" s="38" t="s">
        <v>16</v>
      </c>
      <c r="T65" s="38"/>
      <c r="U65" s="38"/>
      <c r="V65" s="38"/>
      <c r="W65" s="39"/>
    </row>
    <row r="66" spans="2:23">
      <c r="B66" s="23" t="s">
        <v>25</v>
      </c>
      <c r="C66" s="20"/>
      <c r="D66" s="21" t="s">
        <v>26</v>
      </c>
      <c r="E66" s="22"/>
      <c r="F66" s="23"/>
      <c r="G66" s="21" t="s">
        <v>7</v>
      </c>
      <c r="H66" s="24"/>
      <c r="I66" s="50" t="s">
        <v>34</v>
      </c>
      <c r="J66" s="51"/>
      <c r="K66" s="52"/>
      <c r="L66" s="1"/>
      <c r="M66" s="1"/>
      <c r="N66" s="19" t="s">
        <v>25</v>
      </c>
      <c r="O66" s="20"/>
      <c r="P66" s="21" t="s">
        <v>26</v>
      </c>
      <c r="Q66" s="22"/>
      <c r="R66" s="23"/>
      <c r="S66" s="21" t="s">
        <v>7</v>
      </c>
      <c r="T66" s="24"/>
      <c r="U66" s="50" t="s">
        <v>35</v>
      </c>
      <c r="V66" s="51"/>
      <c r="W66" s="52"/>
    </row>
    <row r="67" spans="2:23">
      <c r="B67" s="40"/>
      <c r="C67" s="40" t="s">
        <v>28</v>
      </c>
      <c r="D67" s="41" t="s">
        <v>29</v>
      </c>
      <c r="E67" s="42" t="s">
        <v>30</v>
      </c>
      <c r="F67" s="29" t="s">
        <v>28</v>
      </c>
      <c r="G67" s="30" t="s">
        <v>29</v>
      </c>
      <c r="H67" s="31" t="s">
        <v>30</v>
      </c>
      <c r="I67" s="32" t="s">
        <v>28</v>
      </c>
      <c r="J67" s="33" t="s">
        <v>29</v>
      </c>
      <c r="K67" s="34" t="s">
        <v>31</v>
      </c>
      <c r="L67" s="1"/>
      <c r="M67" s="1"/>
      <c r="N67" s="5"/>
      <c r="O67" s="26" t="s">
        <v>28</v>
      </c>
      <c r="P67" s="27" t="s">
        <v>29</v>
      </c>
      <c r="Q67" s="28" t="s">
        <v>30</v>
      </c>
      <c r="R67" s="29" t="s">
        <v>28</v>
      </c>
      <c r="S67" s="30" t="s">
        <v>29</v>
      </c>
      <c r="T67" s="31" t="s">
        <v>30</v>
      </c>
      <c r="U67" s="43" t="s">
        <v>28</v>
      </c>
      <c r="V67" s="44" t="s">
        <v>29</v>
      </c>
      <c r="W67" s="45" t="s">
        <v>31</v>
      </c>
    </row>
    <row r="68" spans="2:23">
      <c r="B68" s="19">
        <v>2007</v>
      </c>
      <c r="C68" s="3">
        <v>3</v>
      </c>
      <c r="D68" s="3">
        <v>2</v>
      </c>
      <c r="E68" s="3">
        <f t="shared" ref="E68:E77" si="33">SUM(C68:D68)</f>
        <v>5</v>
      </c>
      <c r="F68" s="3">
        <v>125</v>
      </c>
      <c r="G68" s="3">
        <v>134</v>
      </c>
      <c r="H68" s="3">
        <v>259</v>
      </c>
      <c r="I68" s="4">
        <f t="shared" ref="I68:I77" si="34">C68/F68*1000</f>
        <v>24</v>
      </c>
      <c r="J68" s="4">
        <f t="shared" ref="J68:J77" si="35">D68/G68*1000</f>
        <v>14.925373134328359</v>
      </c>
      <c r="K68" s="4">
        <f t="shared" ref="K68:K77" si="36">E68/H68*1000</f>
        <v>19.305019305019304</v>
      </c>
      <c r="L68" s="1"/>
      <c r="M68" s="1"/>
      <c r="N68" s="26">
        <v>2007</v>
      </c>
      <c r="O68" s="3">
        <f>3+0</f>
        <v>3</v>
      </c>
      <c r="P68" s="3">
        <f>2+0</f>
        <v>2</v>
      </c>
      <c r="Q68" s="3">
        <f t="shared" ref="Q68:Q77" si="37">SUM(O68:P68)</f>
        <v>5</v>
      </c>
      <c r="R68" s="3">
        <v>125</v>
      </c>
      <c r="S68" s="3">
        <v>134</v>
      </c>
      <c r="T68" s="3">
        <v>259</v>
      </c>
      <c r="U68" s="4">
        <f t="shared" ref="U68:U77" si="38">O68/R68*1000</f>
        <v>24</v>
      </c>
      <c r="V68" s="4">
        <f t="shared" ref="V68:V77" si="39">P68/S68*1000</f>
        <v>14.925373134328359</v>
      </c>
      <c r="W68" s="4">
        <f t="shared" ref="W68:W77" si="40">Q68/T68*1000</f>
        <v>19.305019305019304</v>
      </c>
    </row>
    <row r="69" spans="2:23">
      <c r="B69" s="35">
        <v>2008</v>
      </c>
      <c r="C69" s="3">
        <f>0</f>
        <v>0</v>
      </c>
      <c r="D69" s="3">
        <v>1</v>
      </c>
      <c r="E69" s="3">
        <f t="shared" si="33"/>
        <v>1</v>
      </c>
      <c r="F69" s="3">
        <v>139</v>
      </c>
      <c r="G69" s="36">
        <v>137</v>
      </c>
      <c r="H69" s="3">
        <v>276</v>
      </c>
      <c r="I69" s="4">
        <f t="shared" si="34"/>
        <v>0</v>
      </c>
      <c r="J69" s="4">
        <f t="shared" si="35"/>
        <v>7.2992700729927007</v>
      </c>
      <c r="K69" s="4">
        <f t="shared" si="36"/>
        <v>3.6231884057971016</v>
      </c>
      <c r="L69" s="1"/>
      <c r="M69" s="1"/>
      <c r="N69" s="26">
        <v>2008</v>
      </c>
      <c r="O69" s="3">
        <f>0+2</f>
        <v>2</v>
      </c>
      <c r="P69" s="3">
        <f>0+1</f>
        <v>1</v>
      </c>
      <c r="Q69" s="3">
        <f t="shared" si="37"/>
        <v>3</v>
      </c>
      <c r="R69" s="3">
        <v>139</v>
      </c>
      <c r="S69" s="36">
        <v>137</v>
      </c>
      <c r="T69" s="3">
        <v>276</v>
      </c>
      <c r="U69" s="4">
        <f t="shared" si="38"/>
        <v>14.388489208633095</v>
      </c>
      <c r="V69" s="4">
        <f t="shared" si="39"/>
        <v>7.2992700729927007</v>
      </c>
      <c r="W69" s="4">
        <f t="shared" si="40"/>
        <v>10.869565217391305</v>
      </c>
    </row>
    <row r="70" spans="2:23">
      <c r="B70" s="35">
        <v>2009</v>
      </c>
      <c r="C70" s="3">
        <v>0</v>
      </c>
      <c r="D70" s="3">
        <v>1</v>
      </c>
      <c r="E70" s="3">
        <f t="shared" si="33"/>
        <v>1</v>
      </c>
      <c r="F70" s="3">
        <v>98</v>
      </c>
      <c r="G70" s="36">
        <v>128</v>
      </c>
      <c r="H70" s="3">
        <v>226</v>
      </c>
      <c r="I70" s="4">
        <f t="shared" si="34"/>
        <v>0</v>
      </c>
      <c r="J70" s="4">
        <f t="shared" si="35"/>
        <v>7.8125</v>
      </c>
      <c r="K70" s="4">
        <f t="shared" si="36"/>
        <v>4.4247787610619467</v>
      </c>
      <c r="L70" s="1"/>
      <c r="M70" s="1"/>
      <c r="N70" s="26">
        <v>2009</v>
      </c>
      <c r="O70" s="3">
        <f>0+0</f>
        <v>0</v>
      </c>
      <c r="P70" s="3">
        <f>1+0</f>
        <v>1</v>
      </c>
      <c r="Q70" s="3">
        <f t="shared" si="37"/>
        <v>1</v>
      </c>
      <c r="R70" s="3">
        <v>98</v>
      </c>
      <c r="S70" s="36">
        <v>128</v>
      </c>
      <c r="T70" s="3">
        <v>226</v>
      </c>
      <c r="U70" s="4">
        <f t="shared" si="38"/>
        <v>0</v>
      </c>
      <c r="V70" s="4">
        <f t="shared" si="39"/>
        <v>7.8125</v>
      </c>
      <c r="W70" s="4">
        <f t="shared" si="40"/>
        <v>4.4247787610619467</v>
      </c>
    </row>
    <row r="71" spans="2:23">
      <c r="B71" s="35">
        <v>2010</v>
      </c>
      <c r="C71" s="3">
        <v>4</v>
      </c>
      <c r="D71" s="36">
        <v>1</v>
      </c>
      <c r="E71" s="3">
        <f t="shared" si="33"/>
        <v>5</v>
      </c>
      <c r="F71" s="3">
        <v>118</v>
      </c>
      <c r="G71" s="36">
        <v>114</v>
      </c>
      <c r="H71" s="3">
        <v>232</v>
      </c>
      <c r="I71" s="4">
        <f t="shared" si="34"/>
        <v>33.898305084745765</v>
      </c>
      <c r="J71" s="4">
        <f t="shared" si="35"/>
        <v>8.7719298245614024</v>
      </c>
      <c r="K71" s="4">
        <f t="shared" si="36"/>
        <v>21.551724137931036</v>
      </c>
      <c r="L71" s="1"/>
      <c r="M71" s="1"/>
      <c r="N71" s="26">
        <v>2010</v>
      </c>
      <c r="O71" s="3">
        <f>4+0</f>
        <v>4</v>
      </c>
      <c r="P71" s="36">
        <f>1+0</f>
        <v>1</v>
      </c>
      <c r="Q71" s="3">
        <f t="shared" si="37"/>
        <v>5</v>
      </c>
      <c r="R71" s="3">
        <v>118</v>
      </c>
      <c r="S71" s="36">
        <v>114</v>
      </c>
      <c r="T71" s="3">
        <v>232</v>
      </c>
      <c r="U71" s="4">
        <f t="shared" si="38"/>
        <v>33.898305084745765</v>
      </c>
      <c r="V71" s="4">
        <f t="shared" si="39"/>
        <v>8.7719298245614024</v>
      </c>
      <c r="W71" s="4">
        <f t="shared" si="40"/>
        <v>21.551724137931036</v>
      </c>
    </row>
    <row r="72" spans="2:23">
      <c r="B72" s="35">
        <v>2011</v>
      </c>
      <c r="C72" s="3">
        <v>5</v>
      </c>
      <c r="D72" s="36">
        <v>2</v>
      </c>
      <c r="E72" s="3">
        <f t="shared" si="33"/>
        <v>7</v>
      </c>
      <c r="F72" s="3">
        <v>121</v>
      </c>
      <c r="G72" s="36">
        <v>128</v>
      </c>
      <c r="H72" s="3">
        <v>249</v>
      </c>
      <c r="I72" s="4">
        <f t="shared" si="34"/>
        <v>41.32231404958678</v>
      </c>
      <c r="J72" s="4">
        <f t="shared" si="35"/>
        <v>15.625</v>
      </c>
      <c r="K72" s="4">
        <f t="shared" si="36"/>
        <v>28.112449799196785</v>
      </c>
      <c r="L72" s="1"/>
      <c r="M72" s="1"/>
      <c r="N72" s="26">
        <v>2011</v>
      </c>
      <c r="O72" s="3">
        <f>5+0</f>
        <v>5</v>
      </c>
      <c r="P72" s="36">
        <f>2+0</f>
        <v>2</v>
      </c>
      <c r="Q72" s="3">
        <f t="shared" si="37"/>
        <v>7</v>
      </c>
      <c r="R72" s="3">
        <v>121</v>
      </c>
      <c r="S72" s="36">
        <v>128</v>
      </c>
      <c r="T72" s="3">
        <v>249</v>
      </c>
      <c r="U72" s="4">
        <f t="shared" si="38"/>
        <v>41.32231404958678</v>
      </c>
      <c r="V72" s="4">
        <f t="shared" si="39"/>
        <v>15.625</v>
      </c>
      <c r="W72" s="4">
        <f t="shared" si="40"/>
        <v>28.112449799196785</v>
      </c>
    </row>
    <row r="73" spans="2:23">
      <c r="B73" s="35">
        <v>2012</v>
      </c>
      <c r="C73" s="3">
        <v>4</v>
      </c>
      <c r="D73" s="36">
        <v>0</v>
      </c>
      <c r="E73" s="3">
        <f t="shared" si="33"/>
        <v>4</v>
      </c>
      <c r="F73" s="3">
        <v>129</v>
      </c>
      <c r="G73" s="36">
        <v>125</v>
      </c>
      <c r="H73" s="3">
        <v>254</v>
      </c>
      <c r="I73" s="4">
        <f t="shared" si="34"/>
        <v>31.007751937984494</v>
      </c>
      <c r="J73" s="4">
        <f t="shared" si="35"/>
        <v>0</v>
      </c>
      <c r="K73" s="4">
        <f t="shared" si="36"/>
        <v>15.748031496062993</v>
      </c>
      <c r="L73" s="1"/>
      <c r="M73" s="1"/>
      <c r="N73" s="26">
        <v>2012</v>
      </c>
      <c r="O73" s="3">
        <f>4+1</f>
        <v>5</v>
      </c>
      <c r="P73" s="36">
        <f>0+0</f>
        <v>0</v>
      </c>
      <c r="Q73" s="3">
        <f t="shared" si="37"/>
        <v>5</v>
      </c>
      <c r="R73" s="3">
        <v>129</v>
      </c>
      <c r="S73" s="36">
        <v>125</v>
      </c>
      <c r="T73" s="3">
        <v>254</v>
      </c>
      <c r="U73" s="4">
        <f t="shared" si="38"/>
        <v>38.759689922480618</v>
      </c>
      <c r="V73" s="4">
        <f t="shared" si="39"/>
        <v>0</v>
      </c>
      <c r="W73" s="4">
        <f t="shared" si="40"/>
        <v>19.685039370078741</v>
      </c>
    </row>
    <row r="74" spans="2:23">
      <c r="B74" s="35">
        <v>2013</v>
      </c>
      <c r="C74" s="3">
        <v>4</v>
      </c>
      <c r="D74" s="36">
        <v>4</v>
      </c>
      <c r="E74" s="3">
        <f t="shared" si="33"/>
        <v>8</v>
      </c>
      <c r="F74" s="3">
        <v>138</v>
      </c>
      <c r="G74" s="36">
        <v>125</v>
      </c>
      <c r="H74" s="3">
        <v>263</v>
      </c>
      <c r="I74" s="4">
        <f t="shared" si="34"/>
        <v>28.985507246376812</v>
      </c>
      <c r="J74" s="4">
        <f t="shared" si="35"/>
        <v>32</v>
      </c>
      <c r="K74" s="4">
        <f t="shared" si="36"/>
        <v>30.418250950570343</v>
      </c>
      <c r="L74" s="1"/>
      <c r="M74" s="1"/>
      <c r="N74" s="26">
        <v>2013</v>
      </c>
      <c r="O74" s="3">
        <f>4+2</f>
        <v>6</v>
      </c>
      <c r="P74" s="36">
        <f>4+0</f>
        <v>4</v>
      </c>
      <c r="Q74" s="3">
        <f t="shared" si="37"/>
        <v>10</v>
      </c>
      <c r="R74" s="3">
        <v>138</v>
      </c>
      <c r="S74" s="36">
        <v>125</v>
      </c>
      <c r="T74" s="3">
        <v>263</v>
      </c>
      <c r="U74" s="4">
        <f t="shared" si="38"/>
        <v>43.478260869565219</v>
      </c>
      <c r="V74" s="4">
        <f t="shared" si="39"/>
        <v>32</v>
      </c>
      <c r="W74" s="4">
        <f t="shared" si="40"/>
        <v>38.022813688212928</v>
      </c>
    </row>
    <row r="75" spans="2:23">
      <c r="B75" s="35">
        <v>2014</v>
      </c>
      <c r="C75" s="3">
        <v>1</v>
      </c>
      <c r="D75" s="36">
        <v>1</v>
      </c>
      <c r="E75" s="3">
        <f t="shared" si="33"/>
        <v>2</v>
      </c>
      <c r="F75" s="3">
        <v>124</v>
      </c>
      <c r="G75" s="36">
        <v>134</v>
      </c>
      <c r="H75" s="3">
        <v>258</v>
      </c>
      <c r="I75" s="4">
        <f t="shared" si="34"/>
        <v>8.064516129032258</v>
      </c>
      <c r="J75" s="4">
        <f t="shared" si="35"/>
        <v>7.4626865671641793</v>
      </c>
      <c r="K75" s="4">
        <f t="shared" si="36"/>
        <v>7.7519379844961236</v>
      </c>
      <c r="L75" s="1"/>
      <c r="M75" s="1"/>
      <c r="N75" s="26">
        <v>2014</v>
      </c>
      <c r="O75" s="3">
        <f>1+0</f>
        <v>1</v>
      </c>
      <c r="P75" s="36">
        <f>1+0</f>
        <v>1</v>
      </c>
      <c r="Q75" s="3">
        <f t="shared" si="37"/>
        <v>2</v>
      </c>
      <c r="R75" s="3">
        <v>124</v>
      </c>
      <c r="S75" s="36">
        <v>134</v>
      </c>
      <c r="T75" s="3">
        <v>258</v>
      </c>
      <c r="U75" s="4">
        <f t="shared" si="38"/>
        <v>8.064516129032258</v>
      </c>
      <c r="V75" s="4">
        <f t="shared" si="39"/>
        <v>7.4626865671641793</v>
      </c>
      <c r="W75" s="4">
        <f t="shared" si="40"/>
        <v>7.7519379844961236</v>
      </c>
    </row>
    <row r="76" spans="2:23">
      <c r="B76" s="35">
        <v>2015</v>
      </c>
      <c r="C76" s="3">
        <v>1</v>
      </c>
      <c r="D76" s="36">
        <v>2</v>
      </c>
      <c r="E76" s="3">
        <f t="shared" si="33"/>
        <v>3</v>
      </c>
      <c r="F76" s="3">
        <v>125</v>
      </c>
      <c r="G76" s="36">
        <v>125</v>
      </c>
      <c r="H76" s="3">
        <v>250</v>
      </c>
      <c r="I76" s="4">
        <f t="shared" si="34"/>
        <v>8</v>
      </c>
      <c r="J76" s="4">
        <f t="shared" si="35"/>
        <v>16</v>
      </c>
      <c r="K76" s="4">
        <f t="shared" si="36"/>
        <v>12</v>
      </c>
      <c r="L76" s="1"/>
      <c r="M76" s="1"/>
      <c r="N76" s="26">
        <v>2015</v>
      </c>
      <c r="O76" s="3">
        <f>1+0</f>
        <v>1</v>
      </c>
      <c r="P76" s="36">
        <f>2+0</f>
        <v>2</v>
      </c>
      <c r="Q76" s="3">
        <f t="shared" si="37"/>
        <v>3</v>
      </c>
      <c r="R76" s="3">
        <v>125</v>
      </c>
      <c r="S76" s="36">
        <v>125</v>
      </c>
      <c r="T76" s="3">
        <v>250</v>
      </c>
      <c r="U76" s="4">
        <f t="shared" si="38"/>
        <v>8</v>
      </c>
      <c r="V76" s="4">
        <f t="shared" si="39"/>
        <v>16</v>
      </c>
      <c r="W76" s="4">
        <f t="shared" si="40"/>
        <v>12</v>
      </c>
    </row>
    <row r="77" spans="2:23">
      <c r="B77" s="5">
        <v>2016</v>
      </c>
      <c r="C77" s="3">
        <v>1</v>
      </c>
      <c r="D77" s="3">
        <v>1</v>
      </c>
      <c r="E77" s="3">
        <f t="shared" si="33"/>
        <v>2</v>
      </c>
      <c r="F77" s="3">
        <v>133</v>
      </c>
      <c r="G77" s="3">
        <v>100</v>
      </c>
      <c r="H77" s="3">
        <v>233</v>
      </c>
      <c r="I77" s="4">
        <f t="shared" si="34"/>
        <v>7.518796992481203</v>
      </c>
      <c r="J77" s="4">
        <f t="shared" si="35"/>
        <v>10</v>
      </c>
      <c r="K77" s="4">
        <f t="shared" si="36"/>
        <v>8.5836909871244629</v>
      </c>
      <c r="L77" s="1"/>
      <c r="M77" s="1"/>
      <c r="N77" s="40">
        <v>2016</v>
      </c>
      <c r="O77" s="3">
        <f>1+0</f>
        <v>1</v>
      </c>
      <c r="P77" s="3">
        <f>1+0</f>
        <v>1</v>
      </c>
      <c r="Q77" s="3">
        <f t="shared" si="37"/>
        <v>2</v>
      </c>
      <c r="R77" s="3">
        <v>133</v>
      </c>
      <c r="S77" s="3">
        <v>100</v>
      </c>
      <c r="T77" s="3">
        <v>233</v>
      </c>
      <c r="U77" s="4">
        <f t="shared" si="38"/>
        <v>7.518796992481203</v>
      </c>
      <c r="V77" s="4">
        <f t="shared" si="39"/>
        <v>10</v>
      </c>
      <c r="W77" s="4">
        <f t="shared" si="40"/>
        <v>8.5836909871244629</v>
      </c>
    </row>
    <row r="78" spans="2:2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>
      <c r="B80" s="2" t="s">
        <v>34</v>
      </c>
      <c r="C80" s="37"/>
      <c r="D80" s="38"/>
      <c r="E80" s="38"/>
      <c r="F80" s="38"/>
      <c r="G80" s="38" t="s">
        <v>17</v>
      </c>
      <c r="H80" s="38"/>
      <c r="I80" s="38"/>
      <c r="J80" s="38"/>
      <c r="K80" s="39"/>
      <c r="L80" s="1"/>
      <c r="M80" s="1"/>
      <c r="N80" s="2" t="s">
        <v>35</v>
      </c>
      <c r="O80" s="37"/>
      <c r="P80" s="38"/>
      <c r="Q80" s="38"/>
      <c r="R80" s="38"/>
      <c r="S80" s="38" t="s">
        <v>17</v>
      </c>
      <c r="T80" s="38"/>
      <c r="U80" s="38"/>
      <c r="V80" s="38"/>
      <c r="W80" s="39"/>
    </row>
    <row r="81" spans="2:23">
      <c r="B81" s="23" t="s">
        <v>25</v>
      </c>
      <c r="C81" s="20"/>
      <c r="D81" s="21" t="s">
        <v>26</v>
      </c>
      <c r="E81" s="22"/>
      <c r="F81" s="23"/>
      <c r="G81" s="21" t="s">
        <v>7</v>
      </c>
      <c r="H81" s="24"/>
      <c r="I81" s="50" t="s">
        <v>34</v>
      </c>
      <c r="J81" s="51"/>
      <c r="K81" s="52"/>
      <c r="L81" s="1"/>
      <c r="M81" s="1"/>
      <c r="N81" s="19" t="s">
        <v>25</v>
      </c>
      <c r="O81" s="20"/>
      <c r="P81" s="21" t="s">
        <v>26</v>
      </c>
      <c r="Q81" s="22"/>
      <c r="R81" s="23"/>
      <c r="S81" s="21" t="s">
        <v>7</v>
      </c>
      <c r="T81" s="24"/>
      <c r="U81" s="50" t="s">
        <v>35</v>
      </c>
      <c r="V81" s="51"/>
      <c r="W81" s="52"/>
    </row>
    <row r="82" spans="2:23">
      <c r="B82" s="40"/>
      <c r="C82" s="40" t="s">
        <v>28</v>
      </c>
      <c r="D82" s="41" t="s">
        <v>29</v>
      </c>
      <c r="E82" s="42" t="s">
        <v>30</v>
      </c>
      <c r="F82" s="29" t="s">
        <v>28</v>
      </c>
      <c r="G82" s="30" t="s">
        <v>29</v>
      </c>
      <c r="H82" s="31" t="s">
        <v>30</v>
      </c>
      <c r="I82" s="32" t="s">
        <v>28</v>
      </c>
      <c r="J82" s="33" t="s">
        <v>29</v>
      </c>
      <c r="K82" s="34" t="s">
        <v>31</v>
      </c>
      <c r="L82" s="1"/>
      <c r="M82" s="1"/>
      <c r="N82" s="5"/>
      <c r="O82" s="26" t="s">
        <v>28</v>
      </c>
      <c r="P82" s="27" t="s">
        <v>29</v>
      </c>
      <c r="Q82" s="28" t="s">
        <v>30</v>
      </c>
      <c r="R82" s="29" t="s">
        <v>28</v>
      </c>
      <c r="S82" s="30" t="s">
        <v>29</v>
      </c>
      <c r="T82" s="31" t="s">
        <v>30</v>
      </c>
      <c r="U82" s="43" t="s">
        <v>28</v>
      </c>
      <c r="V82" s="44" t="s">
        <v>29</v>
      </c>
      <c r="W82" s="45" t="s">
        <v>31</v>
      </c>
    </row>
    <row r="83" spans="2:23">
      <c r="B83" s="19">
        <v>2007</v>
      </c>
      <c r="C83" s="3">
        <v>1</v>
      </c>
      <c r="D83" s="3">
        <v>5</v>
      </c>
      <c r="E83" s="3">
        <f t="shared" ref="E83:E92" si="41">SUM(C83:D83)</f>
        <v>6</v>
      </c>
      <c r="F83" s="3">
        <v>220</v>
      </c>
      <c r="G83" s="3">
        <v>250</v>
      </c>
      <c r="H83" s="3">
        <v>470</v>
      </c>
      <c r="I83" s="4">
        <f t="shared" ref="I83:I92" si="42">C83/F83*1000</f>
        <v>4.545454545454545</v>
      </c>
      <c r="J83" s="4">
        <f t="shared" ref="J83:J92" si="43">D83/G83*1000</f>
        <v>20</v>
      </c>
      <c r="K83" s="4">
        <f t="shared" ref="K83:K92" si="44">E83/H83*1000</f>
        <v>12.76595744680851</v>
      </c>
      <c r="L83" s="1"/>
      <c r="M83" s="1"/>
      <c r="N83" s="26">
        <v>2007</v>
      </c>
      <c r="O83" s="3">
        <f>1+2</f>
        <v>3</v>
      </c>
      <c r="P83" s="3">
        <f>5+1</f>
        <v>6</v>
      </c>
      <c r="Q83" s="3">
        <f t="shared" ref="Q83:Q92" si="45">SUM(O83:P83)</f>
        <v>9</v>
      </c>
      <c r="R83" s="3">
        <v>220</v>
      </c>
      <c r="S83" s="3">
        <v>250</v>
      </c>
      <c r="T83" s="3">
        <v>470</v>
      </c>
      <c r="U83" s="4">
        <f t="shared" ref="U83:U92" si="46">O83/R83*1000</f>
        <v>13.636363636363635</v>
      </c>
      <c r="V83" s="4">
        <f t="shared" ref="V83:V92" si="47">P83/S83*1000</f>
        <v>24</v>
      </c>
      <c r="W83" s="4">
        <f t="shared" ref="W83:W92" si="48">Q83/T83*1000</f>
        <v>19.148936170212767</v>
      </c>
    </row>
    <row r="84" spans="2:23">
      <c r="B84" s="35">
        <v>2008</v>
      </c>
      <c r="C84" s="3">
        <v>2</v>
      </c>
      <c r="D84" s="3">
        <v>2</v>
      </c>
      <c r="E84" s="3">
        <f t="shared" si="41"/>
        <v>4</v>
      </c>
      <c r="F84" s="3">
        <v>263</v>
      </c>
      <c r="G84" s="36">
        <v>260</v>
      </c>
      <c r="H84" s="3">
        <v>523</v>
      </c>
      <c r="I84" s="4">
        <f t="shared" si="42"/>
        <v>7.6045627376425857</v>
      </c>
      <c r="J84" s="4">
        <f t="shared" si="43"/>
        <v>7.6923076923076925</v>
      </c>
      <c r="K84" s="4">
        <f t="shared" si="44"/>
        <v>7.6481835564053533</v>
      </c>
      <c r="L84" s="1"/>
      <c r="M84" s="1"/>
      <c r="N84" s="26">
        <v>2008</v>
      </c>
      <c r="O84" s="3">
        <f>2+1</f>
        <v>3</v>
      </c>
      <c r="P84" s="3">
        <f>2+0</f>
        <v>2</v>
      </c>
      <c r="Q84" s="3">
        <f t="shared" si="45"/>
        <v>5</v>
      </c>
      <c r="R84" s="3">
        <v>263</v>
      </c>
      <c r="S84" s="36">
        <v>260</v>
      </c>
      <c r="T84" s="3">
        <v>523</v>
      </c>
      <c r="U84" s="4">
        <f t="shared" si="46"/>
        <v>11.406844106463879</v>
      </c>
      <c r="V84" s="4">
        <f t="shared" si="47"/>
        <v>7.6923076923076925</v>
      </c>
      <c r="W84" s="4">
        <f t="shared" si="48"/>
        <v>9.5602294455066925</v>
      </c>
    </row>
    <row r="85" spans="2:23">
      <c r="B85" s="35">
        <v>2009</v>
      </c>
      <c r="C85" s="3">
        <v>2</v>
      </c>
      <c r="D85" s="3">
        <v>1</v>
      </c>
      <c r="E85" s="3">
        <f t="shared" si="41"/>
        <v>3</v>
      </c>
      <c r="F85" s="3">
        <v>272</v>
      </c>
      <c r="G85" s="36">
        <v>237</v>
      </c>
      <c r="H85" s="3">
        <v>509</v>
      </c>
      <c r="I85" s="4">
        <f t="shared" si="42"/>
        <v>7.3529411764705879</v>
      </c>
      <c r="J85" s="4">
        <f t="shared" si="43"/>
        <v>4.2194092827004219</v>
      </c>
      <c r="K85" s="4">
        <f t="shared" si="44"/>
        <v>5.8939096267190569</v>
      </c>
      <c r="L85" s="1"/>
      <c r="M85" s="1"/>
      <c r="N85" s="26">
        <v>2009</v>
      </c>
      <c r="O85" s="3">
        <f>2+1</f>
        <v>3</v>
      </c>
      <c r="P85" s="3">
        <f>1+1</f>
        <v>2</v>
      </c>
      <c r="Q85" s="3">
        <f t="shared" si="45"/>
        <v>5</v>
      </c>
      <c r="R85" s="3">
        <v>272</v>
      </c>
      <c r="S85" s="36">
        <v>237</v>
      </c>
      <c r="T85" s="3">
        <v>509</v>
      </c>
      <c r="U85" s="4">
        <f t="shared" si="46"/>
        <v>11.029411764705882</v>
      </c>
      <c r="V85" s="4">
        <f t="shared" si="47"/>
        <v>8.4388185654008439</v>
      </c>
      <c r="W85" s="4">
        <f t="shared" si="48"/>
        <v>9.8231827111984273</v>
      </c>
    </row>
    <row r="86" spans="2:23">
      <c r="B86" s="35">
        <v>2010</v>
      </c>
      <c r="C86" s="3">
        <v>1</v>
      </c>
      <c r="D86" s="36">
        <v>2</v>
      </c>
      <c r="E86" s="3">
        <f t="shared" si="41"/>
        <v>3</v>
      </c>
      <c r="F86" s="3">
        <v>263</v>
      </c>
      <c r="G86" s="36">
        <v>259</v>
      </c>
      <c r="H86" s="3">
        <v>522</v>
      </c>
      <c r="I86" s="4">
        <f t="shared" si="42"/>
        <v>3.8022813688212929</v>
      </c>
      <c r="J86" s="4">
        <f t="shared" si="43"/>
        <v>7.7220077220077226</v>
      </c>
      <c r="K86" s="4">
        <f t="shared" si="44"/>
        <v>5.7471264367816088</v>
      </c>
      <c r="L86" s="1"/>
      <c r="M86" s="1"/>
      <c r="N86" s="26">
        <v>2010</v>
      </c>
      <c r="O86" s="3">
        <f>1+0</f>
        <v>1</v>
      </c>
      <c r="P86" s="36">
        <f>2+1</f>
        <v>3</v>
      </c>
      <c r="Q86" s="3">
        <f t="shared" si="45"/>
        <v>4</v>
      </c>
      <c r="R86" s="3">
        <v>263</v>
      </c>
      <c r="S86" s="36">
        <v>259</v>
      </c>
      <c r="T86" s="3">
        <v>522</v>
      </c>
      <c r="U86" s="4">
        <f t="shared" si="46"/>
        <v>3.8022813688212929</v>
      </c>
      <c r="V86" s="4">
        <f t="shared" si="47"/>
        <v>11.583011583011583</v>
      </c>
      <c r="W86" s="4">
        <f t="shared" si="48"/>
        <v>7.6628352490421454</v>
      </c>
    </row>
    <row r="87" spans="2:23">
      <c r="B87" s="35">
        <v>2011</v>
      </c>
      <c r="C87" s="3">
        <v>5</v>
      </c>
      <c r="D87" s="36">
        <v>4</v>
      </c>
      <c r="E87" s="3">
        <f t="shared" si="41"/>
        <v>9</v>
      </c>
      <c r="F87" s="3">
        <v>276</v>
      </c>
      <c r="G87" s="36">
        <v>292</v>
      </c>
      <c r="H87" s="3">
        <v>568</v>
      </c>
      <c r="I87" s="4">
        <f t="shared" si="42"/>
        <v>18.115942028985508</v>
      </c>
      <c r="J87" s="4">
        <f t="shared" si="43"/>
        <v>13.698630136986301</v>
      </c>
      <c r="K87" s="4">
        <f t="shared" si="44"/>
        <v>15.84507042253521</v>
      </c>
      <c r="L87" s="1"/>
      <c r="M87" s="1"/>
      <c r="N87" s="26">
        <v>2011</v>
      </c>
      <c r="O87" s="3">
        <f>5+1</f>
        <v>6</v>
      </c>
      <c r="P87" s="36">
        <f>4+0</f>
        <v>4</v>
      </c>
      <c r="Q87" s="3">
        <f t="shared" si="45"/>
        <v>10</v>
      </c>
      <c r="R87" s="3">
        <v>276</v>
      </c>
      <c r="S87" s="36">
        <v>292</v>
      </c>
      <c r="T87" s="3">
        <v>568</v>
      </c>
      <c r="U87" s="4">
        <f t="shared" si="46"/>
        <v>21.739130434782609</v>
      </c>
      <c r="V87" s="4">
        <f t="shared" si="47"/>
        <v>13.698630136986301</v>
      </c>
      <c r="W87" s="4">
        <f t="shared" si="48"/>
        <v>17.605633802816904</v>
      </c>
    </row>
    <row r="88" spans="2:23">
      <c r="B88" s="35">
        <v>2012</v>
      </c>
      <c r="C88" s="3">
        <v>2</v>
      </c>
      <c r="D88" s="36">
        <v>5</v>
      </c>
      <c r="E88" s="3">
        <f t="shared" si="41"/>
        <v>7</v>
      </c>
      <c r="F88" s="3">
        <v>318</v>
      </c>
      <c r="G88" s="36">
        <v>310</v>
      </c>
      <c r="H88" s="3">
        <v>628</v>
      </c>
      <c r="I88" s="4">
        <f t="shared" si="42"/>
        <v>6.2893081761006293</v>
      </c>
      <c r="J88" s="4">
        <f t="shared" si="43"/>
        <v>16.129032258064516</v>
      </c>
      <c r="K88" s="4">
        <f t="shared" si="44"/>
        <v>11.146496815286623</v>
      </c>
      <c r="L88" s="1"/>
      <c r="M88" s="1"/>
      <c r="N88" s="26">
        <v>2012</v>
      </c>
      <c r="O88" s="3">
        <f>2+1</f>
        <v>3</v>
      </c>
      <c r="P88" s="36">
        <f>5+0</f>
        <v>5</v>
      </c>
      <c r="Q88" s="3">
        <f t="shared" si="45"/>
        <v>8</v>
      </c>
      <c r="R88" s="3">
        <v>318</v>
      </c>
      <c r="S88" s="36">
        <v>310</v>
      </c>
      <c r="T88" s="3">
        <v>628</v>
      </c>
      <c r="U88" s="4">
        <f t="shared" si="46"/>
        <v>9.4339622641509422</v>
      </c>
      <c r="V88" s="4">
        <f t="shared" si="47"/>
        <v>16.129032258064516</v>
      </c>
      <c r="W88" s="4">
        <f t="shared" si="48"/>
        <v>12.738853503184714</v>
      </c>
    </row>
    <row r="89" spans="2:23">
      <c r="B89" s="35">
        <v>2013</v>
      </c>
      <c r="C89" s="3">
        <v>1</v>
      </c>
      <c r="D89" s="36">
        <v>2</v>
      </c>
      <c r="E89" s="3">
        <f t="shared" si="41"/>
        <v>3</v>
      </c>
      <c r="F89" s="3">
        <v>241</v>
      </c>
      <c r="G89" s="36">
        <v>266</v>
      </c>
      <c r="H89" s="3">
        <v>507</v>
      </c>
      <c r="I89" s="4">
        <f t="shared" si="42"/>
        <v>4.1493775933609962</v>
      </c>
      <c r="J89" s="4">
        <f t="shared" si="43"/>
        <v>7.518796992481203</v>
      </c>
      <c r="K89" s="4">
        <f t="shared" si="44"/>
        <v>5.9171597633136095</v>
      </c>
      <c r="L89" s="1"/>
      <c r="M89" s="1"/>
      <c r="N89" s="26">
        <v>2013</v>
      </c>
      <c r="O89" s="3">
        <f>1+0</f>
        <v>1</v>
      </c>
      <c r="P89" s="36">
        <f>2+1</f>
        <v>3</v>
      </c>
      <c r="Q89" s="3">
        <f t="shared" si="45"/>
        <v>4</v>
      </c>
      <c r="R89" s="3">
        <v>241</v>
      </c>
      <c r="S89" s="36">
        <v>266</v>
      </c>
      <c r="T89" s="3">
        <v>507</v>
      </c>
      <c r="U89" s="4">
        <f t="shared" si="46"/>
        <v>4.1493775933609962</v>
      </c>
      <c r="V89" s="4">
        <f t="shared" si="47"/>
        <v>11.278195488721805</v>
      </c>
      <c r="W89" s="4">
        <f t="shared" si="48"/>
        <v>7.8895463510848129</v>
      </c>
    </row>
    <row r="90" spans="2:23">
      <c r="B90" s="35">
        <v>2014</v>
      </c>
      <c r="C90" s="3">
        <v>3</v>
      </c>
      <c r="D90" s="36">
        <v>5</v>
      </c>
      <c r="E90" s="3">
        <f t="shared" si="41"/>
        <v>8</v>
      </c>
      <c r="F90" s="3">
        <v>337</v>
      </c>
      <c r="G90" s="36">
        <v>303</v>
      </c>
      <c r="H90" s="3">
        <v>640</v>
      </c>
      <c r="I90" s="4">
        <f t="shared" si="42"/>
        <v>8.9020771513353125</v>
      </c>
      <c r="J90" s="4">
        <f t="shared" si="43"/>
        <v>16.5016501650165</v>
      </c>
      <c r="K90" s="4">
        <f t="shared" si="44"/>
        <v>12.5</v>
      </c>
      <c r="L90" s="1"/>
      <c r="M90" s="1"/>
      <c r="N90" s="26">
        <v>2014</v>
      </c>
      <c r="O90" s="3">
        <f>3+1</f>
        <v>4</v>
      </c>
      <c r="P90" s="36">
        <f>5+2</f>
        <v>7</v>
      </c>
      <c r="Q90" s="3">
        <f t="shared" si="45"/>
        <v>11</v>
      </c>
      <c r="R90" s="3">
        <v>337</v>
      </c>
      <c r="S90" s="36">
        <v>303</v>
      </c>
      <c r="T90" s="3">
        <v>640</v>
      </c>
      <c r="U90" s="4">
        <f t="shared" si="46"/>
        <v>11.869436201780417</v>
      </c>
      <c r="V90" s="4">
        <f t="shared" si="47"/>
        <v>23.1023102310231</v>
      </c>
      <c r="W90" s="4">
        <f t="shared" si="48"/>
        <v>17.1875</v>
      </c>
    </row>
    <row r="91" spans="2:23">
      <c r="B91" s="35">
        <v>2015</v>
      </c>
      <c r="C91" s="3">
        <v>7</v>
      </c>
      <c r="D91" s="36">
        <v>5</v>
      </c>
      <c r="E91" s="3">
        <f t="shared" si="41"/>
        <v>12</v>
      </c>
      <c r="F91" s="3">
        <v>299</v>
      </c>
      <c r="G91" s="36">
        <v>294</v>
      </c>
      <c r="H91" s="3">
        <v>593</v>
      </c>
      <c r="I91" s="4">
        <f t="shared" si="42"/>
        <v>23.411371237458191</v>
      </c>
      <c r="J91" s="4">
        <f t="shared" si="43"/>
        <v>17.006802721088437</v>
      </c>
      <c r="K91" s="4">
        <f t="shared" si="44"/>
        <v>20.236087689713322</v>
      </c>
      <c r="L91" s="1"/>
      <c r="M91" s="1"/>
      <c r="N91" s="26">
        <v>2015</v>
      </c>
      <c r="O91" s="3">
        <f>7+2</f>
        <v>9</v>
      </c>
      <c r="P91" s="36">
        <f>5+1</f>
        <v>6</v>
      </c>
      <c r="Q91" s="3">
        <f t="shared" si="45"/>
        <v>15</v>
      </c>
      <c r="R91" s="3">
        <v>299</v>
      </c>
      <c r="S91" s="36">
        <v>294</v>
      </c>
      <c r="T91" s="3">
        <v>593</v>
      </c>
      <c r="U91" s="4">
        <f t="shared" si="46"/>
        <v>30.100334448160535</v>
      </c>
      <c r="V91" s="4">
        <f t="shared" si="47"/>
        <v>20.408163265306122</v>
      </c>
      <c r="W91" s="4">
        <f t="shared" si="48"/>
        <v>25.295109612141651</v>
      </c>
    </row>
    <row r="92" spans="2:23">
      <c r="B92" s="5">
        <v>2016</v>
      </c>
      <c r="C92" s="3">
        <v>2</v>
      </c>
      <c r="D92" s="3">
        <v>8</v>
      </c>
      <c r="E92" s="3">
        <f t="shared" si="41"/>
        <v>10</v>
      </c>
      <c r="F92" s="3">
        <v>284</v>
      </c>
      <c r="G92" s="3">
        <v>295</v>
      </c>
      <c r="H92" s="3">
        <v>579</v>
      </c>
      <c r="I92" s="4">
        <f t="shared" si="42"/>
        <v>7.042253521126761</v>
      </c>
      <c r="J92" s="4">
        <f t="shared" si="43"/>
        <v>27.118644067796609</v>
      </c>
      <c r="K92" s="4">
        <f t="shared" si="44"/>
        <v>17.271157167530223</v>
      </c>
      <c r="L92" s="1"/>
      <c r="M92" s="1"/>
      <c r="N92" s="40">
        <v>2016</v>
      </c>
      <c r="O92" s="3">
        <f>2+2</f>
        <v>4</v>
      </c>
      <c r="P92" s="3">
        <f>8+0</f>
        <v>8</v>
      </c>
      <c r="Q92" s="3">
        <f t="shared" si="45"/>
        <v>12</v>
      </c>
      <c r="R92" s="3">
        <v>284</v>
      </c>
      <c r="S92" s="3">
        <v>295</v>
      </c>
      <c r="T92" s="3">
        <v>579</v>
      </c>
      <c r="U92" s="4">
        <f t="shared" si="46"/>
        <v>14.084507042253522</v>
      </c>
      <c r="V92" s="4">
        <f t="shared" si="47"/>
        <v>27.118644067796609</v>
      </c>
      <c r="W92" s="4">
        <f t="shared" si="48"/>
        <v>20.725388601036268</v>
      </c>
    </row>
    <row r="93" spans="2:2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>
      <c r="B95" s="2" t="s">
        <v>34</v>
      </c>
      <c r="C95" s="37"/>
      <c r="D95" s="38"/>
      <c r="E95" s="38"/>
      <c r="F95" s="38"/>
      <c r="G95" s="38" t="s">
        <v>18</v>
      </c>
      <c r="H95" s="38"/>
      <c r="I95" s="38"/>
      <c r="J95" s="38"/>
      <c r="K95" s="39"/>
      <c r="L95" s="1"/>
      <c r="M95" s="1"/>
      <c r="N95" s="2" t="s">
        <v>35</v>
      </c>
      <c r="O95" s="37"/>
      <c r="P95" s="38"/>
      <c r="Q95" s="38"/>
      <c r="R95" s="38"/>
      <c r="S95" s="38" t="s">
        <v>18</v>
      </c>
      <c r="T95" s="38"/>
      <c r="U95" s="38"/>
      <c r="V95" s="38"/>
      <c r="W95" s="39"/>
    </row>
    <row r="96" spans="2:23">
      <c r="B96" s="23" t="s">
        <v>25</v>
      </c>
      <c r="C96" s="20"/>
      <c r="D96" s="21" t="s">
        <v>26</v>
      </c>
      <c r="E96" s="22"/>
      <c r="F96" s="23"/>
      <c r="G96" s="21" t="s">
        <v>7</v>
      </c>
      <c r="H96" s="24"/>
      <c r="I96" s="50" t="s">
        <v>34</v>
      </c>
      <c r="J96" s="51"/>
      <c r="K96" s="52"/>
      <c r="L96" s="1"/>
      <c r="M96" s="1"/>
      <c r="N96" s="19" t="s">
        <v>25</v>
      </c>
      <c r="O96" s="20"/>
      <c r="P96" s="21" t="s">
        <v>26</v>
      </c>
      <c r="Q96" s="22"/>
      <c r="R96" s="23"/>
      <c r="S96" s="21" t="s">
        <v>7</v>
      </c>
      <c r="T96" s="24"/>
      <c r="U96" s="50" t="s">
        <v>35</v>
      </c>
      <c r="V96" s="51"/>
      <c r="W96" s="52"/>
    </row>
    <row r="97" spans="2:23">
      <c r="B97" s="40"/>
      <c r="C97" s="40" t="s">
        <v>28</v>
      </c>
      <c r="D97" s="41" t="s">
        <v>29</v>
      </c>
      <c r="E97" s="42" t="s">
        <v>30</v>
      </c>
      <c r="F97" s="29" t="s">
        <v>28</v>
      </c>
      <c r="G97" s="30" t="s">
        <v>29</v>
      </c>
      <c r="H97" s="31" t="s">
        <v>30</v>
      </c>
      <c r="I97" s="32" t="s">
        <v>28</v>
      </c>
      <c r="J97" s="33" t="s">
        <v>29</v>
      </c>
      <c r="K97" s="34" t="s">
        <v>31</v>
      </c>
      <c r="L97" s="1"/>
      <c r="M97" s="1"/>
      <c r="N97" s="5"/>
      <c r="O97" s="26" t="s">
        <v>28</v>
      </c>
      <c r="P97" s="27" t="s">
        <v>29</v>
      </c>
      <c r="Q97" s="28" t="s">
        <v>30</v>
      </c>
      <c r="R97" s="29" t="s">
        <v>28</v>
      </c>
      <c r="S97" s="30" t="s">
        <v>29</v>
      </c>
      <c r="T97" s="31" t="s">
        <v>30</v>
      </c>
      <c r="U97" s="43" t="s">
        <v>28</v>
      </c>
      <c r="V97" s="44" t="s">
        <v>29</v>
      </c>
      <c r="W97" s="45" t="s">
        <v>31</v>
      </c>
    </row>
    <row r="98" spans="2:23">
      <c r="B98" s="19">
        <v>2007</v>
      </c>
      <c r="C98" s="3">
        <v>4</v>
      </c>
      <c r="D98" s="3">
        <v>1</v>
      </c>
      <c r="E98" s="3">
        <f t="shared" ref="E98:E107" si="49">SUM(C98:D98)</f>
        <v>5</v>
      </c>
      <c r="F98" s="3">
        <v>220</v>
      </c>
      <c r="G98" s="3">
        <v>215</v>
      </c>
      <c r="H98" s="3">
        <v>435</v>
      </c>
      <c r="I98" s="4">
        <f t="shared" ref="I98:I107" si="50">C98/F98*1000</f>
        <v>18.18181818181818</v>
      </c>
      <c r="J98" s="4">
        <f t="shared" ref="J98:J107" si="51">D98/G98*1000</f>
        <v>4.6511627906976747</v>
      </c>
      <c r="K98" s="4">
        <f t="shared" ref="K98:K107" si="52">E98/H98*1000</f>
        <v>11.494252873563218</v>
      </c>
      <c r="L98" s="1"/>
      <c r="M98" s="1"/>
      <c r="N98" s="26">
        <v>2007</v>
      </c>
      <c r="O98" s="3">
        <f>4+0</f>
        <v>4</v>
      </c>
      <c r="P98" s="3">
        <f>1+1</f>
        <v>2</v>
      </c>
      <c r="Q98" s="3">
        <f t="shared" ref="Q98:Q107" si="53">SUM(O98:P98)</f>
        <v>6</v>
      </c>
      <c r="R98" s="3">
        <v>220</v>
      </c>
      <c r="S98" s="3">
        <v>215</v>
      </c>
      <c r="T98" s="3">
        <v>435</v>
      </c>
      <c r="U98" s="4">
        <f t="shared" ref="U98:U107" si="54">O98/R98*1000</f>
        <v>18.18181818181818</v>
      </c>
      <c r="V98" s="4">
        <f t="shared" ref="V98:V107" si="55">P98/S98*1000</f>
        <v>9.3023255813953494</v>
      </c>
      <c r="W98" s="4">
        <f t="shared" ref="W98:W107" si="56">Q98/T98*1000</f>
        <v>13.793103448275861</v>
      </c>
    </row>
    <row r="99" spans="2:23">
      <c r="B99" s="35">
        <v>2008</v>
      </c>
      <c r="C99" s="3">
        <v>4</v>
      </c>
      <c r="D99" s="3">
        <v>2</v>
      </c>
      <c r="E99" s="3">
        <f t="shared" si="49"/>
        <v>6</v>
      </c>
      <c r="F99" s="3">
        <v>229</v>
      </c>
      <c r="G99" s="36">
        <v>207</v>
      </c>
      <c r="H99" s="3">
        <v>436</v>
      </c>
      <c r="I99" s="4">
        <f t="shared" si="50"/>
        <v>17.467248908296941</v>
      </c>
      <c r="J99" s="4">
        <f t="shared" si="51"/>
        <v>9.6618357487922708</v>
      </c>
      <c r="K99" s="4">
        <f t="shared" si="52"/>
        <v>13.761467889908257</v>
      </c>
      <c r="L99" s="1"/>
      <c r="M99" s="1"/>
      <c r="N99" s="26">
        <v>2008</v>
      </c>
      <c r="O99" s="3">
        <f>4+2</f>
        <v>6</v>
      </c>
      <c r="P99" s="3">
        <f>2+1</f>
        <v>3</v>
      </c>
      <c r="Q99" s="3">
        <f t="shared" si="53"/>
        <v>9</v>
      </c>
      <c r="R99" s="3">
        <v>229</v>
      </c>
      <c r="S99" s="36">
        <v>207</v>
      </c>
      <c r="T99" s="3">
        <v>436</v>
      </c>
      <c r="U99" s="4">
        <f t="shared" si="54"/>
        <v>26.200873362445414</v>
      </c>
      <c r="V99" s="4">
        <f t="shared" si="55"/>
        <v>14.492753623188406</v>
      </c>
      <c r="W99" s="4">
        <f t="shared" si="56"/>
        <v>20.642201834862387</v>
      </c>
    </row>
    <row r="100" spans="2:23">
      <c r="B100" s="35">
        <v>2009</v>
      </c>
      <c r="C100" s="3">
        <v>1</v>
      </c>
      <c r="D100" s="3">
        <v>2</v>
      </c>
      <c r="E100" s="3">
        <f t="shared" si="49"/>
        <v>3</v>
      </c>
      <c r="F100" s="3">
        <v>246</v>
      </c>
      <c r="G100" s="36">
        <v>241</v>
      </c>
      <c r="H100" s="3">
        <v>487</v>
      </c>
      <c r="I100" s="4">
        <f t="shared" si="50"/>
        <v>4.0650406504065044</v>
      </c>
      <c r="J100" s="4">
        <f t="shared" si="51"/>
        <v>8.2987551867219924</v>
      </c>
      <c r="K100" s="4">
        <f t="shared" si="52"/>
        <v>6.1601642710472282</v>
      </c>
      <c r="L100" s="1"/>
      <c r="M100" s="1"/>
      <c r="N100" s="26">
        <v>2009</v>
      </c>
      <c r="O100" s="3">
        <f>1+2</f>
        <v>3</v>
      </c>
      <c r="P100" s="3">
        <f>1+2</f>
        <v>3</v>
      </c>
      <c r="Q100" s="3">
        <f t="shared" si="53"/>
        <v>6</v>
      </c>
      <c r="R100" s="3">
        <v>246</v>
      </c>
      <c r="S100" s="36">
        <v>241</v>
      </c>
      <c r="T100" s="3">
        <v>487</v>
      </c>
      <c r="U100" s="4">
        <f t="shared" si="54"/>
        <v>12.195121951219512</v>
      </c>
      <c r="V100" s="4">
        <f t="shared" si="55"/>
        <v>12.448132780082986</v>
      </c>
      <c r="W100" s="4">
        <f t="shared" si="56"/>
        <v>12.320328542094456</v>
      </c>
    </row>
    <row r="101" spans="2:23">
      <c r="B101" s="35">
        <v>2010</v>
      </c>
      <c r="C101" s="3">
        <v>2</v>
      </c>
      <c r="D101" s="36">
        <v>3</v>
      </c>
      <c r="E101" s="3">
        <f t="shared" si="49"/>
        <v>5</v>
      </c>
      <c r="F101" s="3">
        <v>260</v>
      </c>
      <c r="G101" s="36">
        <v>227</v>
      </c>
      <c r="H101" s="3">
        <v>487</v>
      </c>
      <c r="I101" s="4">
        <f t="shared" si="50"/>
        <v>7.6923076923076925</v>
      </c>
      <c r="J101" s="4">
        <f t="shared" si="51"/>
        <v>13.215859030837004</v>
      </c>
      <c r="K101" s="4">
        <f t="shared" si="52"/>
        <v>10.266940451745379</v>
      </c>
      <c r="L101" s="1"/>
      <c r="M101" s="1"/>
      <c r="N101" s="26">
        <v>2010</v>
      </c>
      <c r="O101" s="3">
        <f>2+1</f>
        <v>3</v>
      </c>
      <c r="P101" s="36">
        <f>3+3</f>
        <v>6</v>
      </c>
      <c r="Q101" s="3">
        <f t="shared" si="53"/>
        <v>9</v>
      </c>
      <c r="R101" s="3">
        <v>260</v>
      </c>
      <c r="S101" s="36">
        <v>227</v>
      </c>
      <c r="T101" s="3">
        <v>487</v>
      </c>
      <c r="U101" s="4">
        <f t="shared" si="54"/>
        <v>11.538461538461538</v>
      </c>
      <c r="V101" s="4">
        <f t="shared" si="55"/>
        <v>26.431718061674008</v>
      </c>
      <c r="W101" s="4">
        <f t="shared" si="56"/>
        <v>18.480492813141684</v>
      </c>
    </row>
    <row r="102" spans="2:23">
      <c r="B102" s="35">
        <v>2011</v>
      </c>
      <c r="C102" s="3">
        <v>5</v>
      </c>
      <c r="D102" s="36">
        <v>0</v>
      </c>
      <c r="E102" s="3">
        <f t="shared" si="49"/>
        <v>5</v>
      </c>
      <c r="F102" s="3">
        <v>243</v>
      </c>
      <c r="G102" s="36">
        <v>232</v>
      </c>
      <c r="H102" s="3">
        <v>475</v>
      </c>
      <c r="I102" s="4">
        <f t="shared" si="50"/>
        <v>20.5761316872428</v>
      </c>
      <c r="J102" s="4">
        <f t="shared" si="51"/>
        <v>0</v>
      </c>
      <c r="K102" s="4">
        <f t="shared" si="52"/>
        <v>10.526315789473683</v>
      </c>
      <c r="L102" s="1"/>
      <c r="M102" s="1"/>
      <c r="N102" s="26">
        <v>2011</v>
      </c>
      <c r="O102" s="3">
        <f>5+0</f>
        <v>5</v>
      </c>
      <c r="P102" s="36">
        <f>0+0</f>
        <v>0</v>
      </c>
      <c r="Q102" s="3">
        <f t="shared" si="53"/>
        <v>5</v>
      </c>
      <c r="R102" s="3">
        <v>243</v>
      </c>
      <c r="S102" s="36">
        <v>232</v>
      </c>
      <c r="T102" s="3">
        <v>475</v>
      </c>
      <c r="U102" s="4">
        <f t="shared" si="54"/>
        <v>20.5761316872428</v>
      </c>
      <c r="V102" s="4">
        <f t="shared" si="55"/>
        <v>0</v>
      </c>
      <c r="W102" s="4">
        <f t="shared" si="56"/>
        <v>10.526315789473683</v>
      </c>
    </row>
    <row r="103" spans="2:23">
      <c r="B103" s="35">
        <v>2012</v>
      </c>
      <c r="C103" s="3">
        <v>3</v>
      </c>
      <c r="D103" s="36">
        <v>10</v>
      </c>
      <c r="E103" s="3">
        <f t="shared" si="49"/>
        <v>13</v>
      </c>
      <c r="F103" s="3">
        <v>224</v>
      </c>
      <c r="G103" s="36">
        <v>221</v>
      </c>
      <c r="H103" s="3">
        <v>445</v>
      </c>
      <c r="I103" s="4">
        <f t="shared" si="50"/>
        <v>13.392857142857142</v>
      </c>
      <c r="J103" s="4">
        <f t="shared" si="51"/>
        <v>45.248868778280539</v>
      </c>
      <c r="K103" s="4">
        <f t="shared" si="52"/>
        <v>29.213483146067418</v>
      </c>
      <c r="L103" s="1"/>
      <c r="M103" s="1"/>
      <c r="N103" s="26">
        <v>2012</v>
      </c>
      <c r="O103" s="3">
        <f>3+0</f>
        <v>3</v>
      </c>
      <c r="P103" s="36">
        <f>10+1</f>
        <v>11</v>
      </c>
      <c r="Q103" s="3">
        <f t="shared" si="53"/>
        <v>14</v>
      </c>
      <c r="R103" s="3">
        <v>224</v>
      </c>
      <c r="S103" s="36">
        <v>221</v>
      </c>
      <c r="T103" s="3">
        <v>445</v>
      </c>
      <c r="U103" s="4">
        <f t="shared" si="54"/>
        <v>13.392857142857142</v>
      </c>
      <c r="V103" s="4">
        <f t="shared" si="55"/>
        <v>49.773755656108591</v>
      </c>
      <c r="W103" s="4">
        <f t="shared" si="56"/>
        <v>31.460674157303373</v>
      </c>
    </row>
    <row r="104" spans="2:23">
      <c r="B104" s="35">
        <v>2013</v>
      </c>
      <c r="C104" s="3">
        <v>4</v>
      </c>
      <c r="D104" s="36">
        <v>2</v>
      </c>
      <c r="E104" s="3">
        <f t="shared" si="49"/>
        <v>6</v>
      </c>
      <c r="F104" s="3">
        <v>238</v>
      </c>
      <c r="G104" s="36">
        <v>255</v>
      </c>
      <c r="H104" s="3">
        <v>493</v>
      </c>
      <c r="I104" s="4">
        <f t="shared" si="50"/>
        <v>16.806722689075631</v>
      </c>
      <c r="J104" s="4">
        <f t="shared" si="51"/>
        <v>7.8431372549019605</v>
      </c>
      <c r="K104" s="4">
        <f t="shared" si="52"/>
        <v>12.170385395537526</v>
      </c>
      <c r="L104" s="1"/>
      <c r="M104" s="1"/>
      <c r="N104" s="26">
        <v>2013</v>
      </c>
      <c r="O104" s="3">
        <f>4+0</f>
        <v>4</v>
      </c>
      <c r="P104" s="36">
        <f>2+2</f>
        <v>4</v>
      </c>
      <c r="Q104" s="3">
        <f t="shared" si="53"/>
        <v>8</v>
      </c>
      <c r="R104" s="3">
        <v>238</v>
      </c>
      <c r="S104" s="36">
        <v>255</v>
      </c>
      <c r="T104" s="3">
        <v>493</v>
      </c>
      <c r="U104" s="4">
        <f t="shared" si="54"/>
        <v>16.806722689075631</v>
      </c>
      <c r="V104" s="4">
        <f t="shared" si="55"/>
        <v>15.686274509803921</v>
      </c>
      <c r="W104" s="4">
        <f t="shared" si="56"/>
        <v>16.227180527383368</v>
      </c>
    </row>
    <row r="105" spans="2:23">
      <c r="B105" s="35">
        <v>2014</v>
      </c>
      <c r="C105" s="3">
        <v>3</v>
      </c>
      <c r="D105" s="36">
        <v>3</v>
      </c>
      <c r="E105" s="3">
        <f t="shared" si="49"/>
        <v>6</v>
      </c>
      <c r="F105" s="3">
        <v>271</v>
      </c>
      <c r="G105" s="36">
        <v>215</v>
      </c>
      <c r="H105" s="3">
        <v>486</v>
      </c>
      <c r="I105" s="4">
        <f t="shared" si="50"/>
        <v>11.07011070110701</v>
      </c>
      <c r="J105" s="4">
        <f t="shared" si="51"/>
        <v>13.953488372093023</v>
      </c>
      <c r="K105" s="4">
        <f t="shared" si="52"/>
        <v>12.345679012345679</v>
      </c>
      <c r="L105" s="1"/>
      <c r="M105" s="1"/>
      <c r="N105" s="26">
        <v>2014</v>
      </c>
      <c r="O105" s="3">
        <f>3+2</f>
        <v>5</v>
      </c>
      <c r="P105" s="36">
        <f>3+1</f>
        <v>4</v>
      </c>
      <c r="Q105" s="3">
        <f t="shared" si="53"/>
        <v>9</v>
      </c>
      <c r="R105" s="3">
        <v>271</v>
      </c>
      <c r="S105" s="36">
        <v>215</v>
      </c>
      <c r="T105" s="3">
        <v>486</v>
      </c>
      <c r="U105" s="4">
        <f t="shared" si="54"/>
        <v>18.450184501845019</v>
      </c>
      <c r="V105" s="4">
        <f t="shared" si="55"/>
        <v>18.604651162790699</v>
      </c>
      <c r="W105" s="4">
        <f t="shared" si="56"/>
        <v>18.518518518518519</v>
      </c>
    </row>
    <row r="106" spans="2:23">
      <c r="B106" s="35">
        <v>2015</v>
      </c>
      <c r="C106" s="3">
        <v>3</v>
      </c>
      <c r="D106" s="36">
        <v>6</v>
      </c>
      <c r="E106" s="3">
        <f t="shared" si="49"/>
        <v>9</v>
      </c>
      <c r="F106" s="3">
        <v>244</v>
      </c>
      <c r="G106" s="36">
        <v>263</v>
      </c>
      <c r="H106" s="3">
        <v>507</v>
      </c>
      <c r="I106" s="4">
        <f t="shared" si="50"/>
        <v>12.295081967213115</v>
      </c>
      <c r="J106" s="4">
        <f t="shared" si="51"/>
        <v>22.813688212927758</v>
      </c>
      <c r="K106" s="4">
        <f t="shared" si="52"/>
        <v>17.751479289940828</v>
      </c>
      <c r="L106" s="1"/>
      <c r="M106" s="1"/>
      <c r="N106" s="26">
        <v>2015</v>
      </c>
      <c r="O106" s="3">
        <f>3+0</f>
        <v>3</v>
      </c>
      <c r="P106" s="36">
        <f>6+2</f>
        <v>8</v>
      </c>
      <c r="Q106" s="3">
        <f t="shared" si="53"/>
        <v>11</v>
      </c>
      <c r="R106" s="3">
        <v>244</v>
      </c>
      <c r="S106" s="36">
        <v>263</v>
      </c>
      <c r="T106" s="3">
        <v>507</v>
      </c>
      <c r="U106" s="4">
        <f t="shared" si="54"/>
        <v>12.295081967213115</v>
      </c>
      <c r="V106" s="4">
        <f t="shared" si="55"/>
        <v>30.418250950570343</v>
      </c>
      <c r="W106" s="4">
        <f t="shared" si="56"/>
        <v>21.696252465483234</v>
      </c>
    </row>
    <row r="107" spans="2:23">
      <c r="B107" s="5">
        <v>2016</v>
      </c>
      <c r="C107" s="3">
        <v>4</v>
      </c>
      <c r="D107" s="3">
        <v>1</v>
      </c>
      <c r="E107" s="3">
        <f t="shared" si="49"/>
        <v>5</v>
      </c>
      <c r="F107" s="3">
        <v>256</v>
      </c>
      <c r="G107" s="3">
        <v>232</v>
      </c>
      <c r="H107" s="3">
        <v>488</v>
      </c>
      <c r="I107" s="4">
        <f t="shared" si="50"/>
        <v>15.625</v>
      </c>
      <c r="J107" s="4">
        <f t="shared" si="51"/>
        <v>4.3103448275862064</v>
      </c>
      <c r="K107" s="4">
        <f t="shared" si="52"/>
        <v>10.245901639344261</v>
      </c>
      <c r="L107" s="1"/>
      <c r="M107" s="1"/>
      <c r="N107" s="40">
        <v>2016</v>
      </c>
      <c r="O107" s="3">
        <f>4+0</f>
        <v>4</v>
      </c>
      <c r="P107" s="3">
        <f>1+0</f>
        <v>1</v>
      </c>
      <c r="Q107" s="3">
        <f t="shared" si="53"/>
        <v>5</v>
      </c>
      <c r="R107" s="3">
        <v>256</v>
      </c>
      <c r="S107" s="3">
        <v>232</v>
      </c>
      <c r="T107" s="3">
        <v>488</v>
      </c>
      <c r="U107" s="4">
        <f t="shared" si="54"/>
        <v>15.625</v>
      </c>
      <c r="V107" s="4">
        <f t="shared" si="55"/>
        <v>4.3103448275862064</v>
      </c>
      <c r="W107" s="4">
        <f t="shared" si="56"/>
        <v>10.245901639344261</v>
      </c>
    </row>
    <row r="108" spans="2:2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>
      <c r="B110" s="2" t="s">
        <v>34</v>
      </c>
      <c r="C110" s="37"/>
      <c r="D110" s="38"/>
      <c r="E110" s="38"/>
      <c r="F110" s="38"/>
      <c r="G110" s="38" t="s">
        <v>19</v>
      </c>
      <c r="H110" s="38"/>
      <c r="I110" s="38"/>
      <c r="J110" s="38"/>
      <c r="K110" s="39"/>
      <c r="L110" s="1"/>
      <c r="M110" s="1"/>
      <c r="N110" s="2" t="s">
        <v>35</v>
      </c>
      <c r="O110" s="37"/>
      <c r="P110" s="38"/>
      <c r="Q110" s="38"/>
      <c r="R110" s="38"/>
      <c r="S110" s="38" t="s">
        <v>19</v>
      </c>
      <c r="T110" s="38"/>
      <c r="U110" s="38"/>
      <c r="V110" s="38"/>
      <c r="W110" s="39"/>
    </row>
    <row r="111" spans="2:23">
      <c r="B111" s="23" t="s">
        <v>25</v>
      </c>
      <c r="C111" s="20"/>
      <c r="D111" s="21" t="s">
        <v>26</v>
      </c>
      <c r="E111" s="22"/>
      <c r="F111" s="23"/>
      <c r="G111" s="21" t="s">
        <v>7</v>
      </c>
      <c r="H111" s="24"/>
      <c r="I111" s="50" t="s">
        <v>34</v>
      </c>
      <c r="J111" s="51"/>
      <c r="K111" s="52"/>
      <c r="L111" s="1"/>
      <c r="M111" s="1"/>
      <c r="N111" s="19" t="s">
        <v>25</v>
      </c>
      <c r="O111" s="20"/>
      <c r="P111" s="21" t="s">
        <v>26</v>
      </c>
      <c r="Q111" s="22"/>
      <c r="R111" s="23"/>
      <c r="S111" s="21" t="s">
        <v>7</v>
      </c>
      <c r="T111" s="24"/>
      <c r="U111" s="50" t="s">
        <v>35</v>
      </c>
      <c r="V111" s="51"/>
      <c r="W111" s="52"/>
    </row>
    <row r="112" spans="2:23">
      <c r="B112" s="40"/>
      <c r="C112" s="40" t="s">
        <v>28</v>
      </c>
      <c r="D112" s="41" t="s">
        <v>29</v>
      </c>
      <c r="E112" s="42" t="s">
        <v>30</v>
      </c>
      <c r="F112" s="29" t="s">
        <v>28</v>
      </c>
      <c r="G112" s="30" t="s">
        <v>29</v>
      </c>
      <c r="H112" s="31" t="s">
        <v>30</v>
      </c>
      <c r="I112" s="32" t="s">
        <v>28</v>
      </c>
      <c r="J112" s="33" t="s">
        <v>29</v>
      </c>
      <c r="K112" s="34" t="s">
        <v>31</v>
      </c>
      <c r="L112" s="1"/>
      <c r="M112" s="1"/>
      <c r="N112" s="5"/>
      <c r="O112" s="26" t="s">
        <v>28</v>
      </c>
      <c r="P112" s="27" t="s">
        <v>29</v>
      </c>
      <c r="Q112" s="28" t="s">
        <v>30</v>
      </c>
      <c r="R112" s="29" t="s">
        <v>28</v>
      </c>
      <c r="S112" s="30" t="s">
        <v>29</v>
      </c>
      <c r="T112" s="31" t="s">
        <v>30</v>
      </c>
      <c r="U112" s="43" t="s">
        <v>28</v>
      </c>
      <c r="V112" s="44" t="s">
        <v>29</v>
      </c>
      <c r="W112" s="45" t="s">
        <v>31</v>
      </c>
    </row>
    <row r="113" spans="2:23">
      <c r="B113" s="19">
        <v>2007</v>
      </c>
      <c r="C113" s="3">
        <v>1</v>
      </c>
      <c r="D113" s="3">
        <v>0</v>
      </c>
      <c r="E113" s="3">
        <f t="shared" ref="E113:E122" si="57">SUM(C113:D113)</f>
        <v>1</v>
      </c>
      <c r="F113" s="3">
        <v>155</v>
      </c>
      <c r="G113" s="3">
        <v>161</v>
      </c>
      <c r="H113" s="3">
        <v>316</v>
      </c>
      <c r="I113" s="4">
        <f t="shared" ref="I113:I122" si="58">C113/F113*1000</f>
        <v>6.4516129032258061</v>
      </c>
      <c r="J113" s="4">
        <f t="shared" ref="J113:J122" si="59">D113/G113*1000</f>
        <v>0</v>
      </c>
      <c r="K113" s="4">
        <f t="shared" ref="K113:K122" si="60">E113/H113*1000</f>
        <v>3.1645569620253164</v>
      </c>
      <c r="L113" s="1"/>
      <c r="M113" s="1"/>
      <c r="N113" s="26">
        <v>2007</v>
      </c>
      <c r="O113" s="3">
        <f>1+1</f>
        <v>2</v>
      </c>
      <c r="P113" s="3">
        <f>0+1</f>
        <v>1</v>
      </c>
      <c r="Q113" s="3">
        <f t="shared" ref="Q113:Q122" si="61">SUM(O113:P113)</f>
        <v>3</v>
      </c>
      <c r="R113" s="3">
        <v>155</v>
      </c>
      <c r="S113" s="3">
        <v>161</v>
      </c>
      <c r="T113" s="3">
        <v>316</v>
      </c>
      <c r="U113" s="4">
        <f t="shared" ref="U113:U122" si="62">O113/R113*1000</f>
        <v>12.903225806451612</v>
      </c>
      <c r="V113" s="4">
        <f t="shared" ref="V113:V122" si="63">P113/S113*1000</f>
        <v>6.2111801242236018</v>
      </c>
      <c r="W113" s="4">
        <f t="shared" ref="W113:W122" si="64">Q113/T113*1000</f>
        <v>9.4936708860759502</v>
      </c>
    </row>
    <row r="114" spans="2:23">
      <c r="B114" s="35">
        <v>2008</v>
      </c>
      <c r="C114" s="3">
        <v>1</v>
      </c>
      <c r="D114" s="3">
        <v>1</v>
      </c>
      <c r="E114" s="3">
        <f t="shared" si="57"/>
        <v>2</v>
      </c>
      <c r="F114" s="3">
        <v>117</v>
      </c>
      <c r="G114" s="36">
        <v>126</v>
      </c>
      <c r="H114" s="3">
        <v>243</v>
      </c>
      <c r="I114" s="4">
        <f t="shared" si="58"/>
        <v>8.5470085470085486</v>
      </c>
      <c r="J114" s="4">
        <f t="shared" si="59"/>
        <v>7.9365079365079358</v>
      </c>
      <c r="K114" s="4">
        <f t="shared" si="60"/>
        <v>8.2304526748971192</v>
      </c>
      <c r="L114" s="1"/>
      <c r="M114" s="1"/>
      <c r="N114" s="26">
        <v>2008</v>
      </c>
      <c r="O114" s="3">
        <f>1+1</f>
        <v>2</v>
      </c>
      <c r="P114" s="3">
        <f>3+1</f>
        <v>4</v>
      </c>
      <c r="Q114" s="3">
        <f t="shared" si="61"/>
        <v>6</v>
      </c>
      <c r="R114" s="3">
        <v>117</v>
      </c>
      <c r="S114" s="36">
        <v>126</v>
      </c>
      <c r="T114" s="3">
        <v>243</v>
      </c>
      <c r="U114" s="4">
        <f t="shared" si="62"/>
        <v>17.094017094017097</v>
      </c>
      <c r="V114" s="4">
        <f t="shared" si="63"/>
        <v>31.746031746031743</v>
      </c>
      <c r="W114" s="4">
        <f t="shared" si="64"/>
        <v>24.691358024691358</v>
      </c>
    </row>
    <row r="115" spans="2:23">
      <c r="B115" s="35">
        <v>2009</v>
      </c>
      <c r="C115" s="3">
        <v>3</v>
      </c>
      <c r="D115" s="3">
        <v>1</v>
      </c>
      <c r="E115" s="3">
        <f t="shared" si="57"/>
        <v>4</v>
      </c>
      <c r="F115" s="3">
        <v>159</v>
      </c>
      <c r="G115" s="36">
        <v>153</v>
      </c>
      <c r="H115" s="3">
        <v>312</v>
      </c>
      <c r="I115" s="4">
        <f t="shared" si="58"/>
        <v>18.867924528301884</v>
      </c>
      <c r="J115" s="4">
        <f t="shared" si="59"/>
        <v>6.5359477124183005</v>
      </c>
      <c r="K115" s="4">
        <f t="shared" si="60"/>
        <v>12.820512820512819</v>
      </c>
      <c r="L115" s="1"/>
      <c r="M115" s="1"/>
      <c r="N115" s="26">
        <v>2009</v>
      </c>
      <c r="O115" s="3">
        <f>3+1</f>
        <v>4</v>
      </c>
      <c r="P115" s="3">
        <f>1+1</f>
        <v>2</v>
      </c>
      <c r="Q115" s="3">
        <f t="shared" si="61"/>
        <v>6</v>
      </c>
      <c r="R115" s="3">
        <v>159</v>
      </c>
      <c r="S115" s="36">
        <v>153</v>
      </c>
      <c r="T115" s="3">
        <v>312</v>
      </c>
      <c r="U115" s="4">
        <f t="shared" si="62"/>
        <v>25.157232704402517</v>
      </c>
      <c r="V115" s="4">
        <f t="shared" si="63"/>
        <v>13.071895424836601</v>
      </c>
      <c r="W115" s="4">
        <f t="shared" si="64"/>
        <v>19.230769230769234</v>
      </c>
    </row>
    <row r="116" spans="2:23">
      <c r="B116" s="35">
        <v>2010</v>
      </c>
      <c r="C116" s="3">
        <v>2</v>
      </c>
      <c r="D116" s="36">
        <v>1</v>
      </c>
      <c r="E116" s="3">
        <f t="shared" si="57"/>
        <v>3</v>
      </c>
      <c r="F116" s="3">
        <v>143</v>
      </c>
      <c r="G116" s="36">
        <v>140</v>
      </c>
      <c r="H116" s="3">
        <v>283</v>
      </c>
      <c r="I116" s="4">
        <f t="shared" si="58"/>
        <v>13.986013986013987</v>
      </c>
      <c r="J116" s="4">
        <f t="shared" si="59"/>
        <v>7.1428571428571423</v>
      </c>
      <c r="K116" s="4">
        <f t="shared" si="60"/>
        <v>10.600706713780919</v>
      </c>
      <c r="L116" s="1"/>
      <c r="M116" s="1"/>
      <c r="N116" s="26">
        <v>2010</v>
      </c>
      <c r="O116" s="3">
        <f>2+2</f>
        <v>4</v>
      </c>
      <c r="P116" s="36">
        <f>1+1</f>
        <v>2</v>
      </c>
      <c r="Q116" s="3">
        <f t="shared" si="61"/>
        <v>6</v>
      </c>
      <c r="R116" s="3">
        <v>143</v>
      </c>
      <c r="S116" s="36">
        <v>140</v>
      </c>
      <c r="T116" s="3">
        <v>283</v>
      </c>
      <c r="U116" s="4">
        <f t="shared" si="62"/>
        <v>27.972027972027973</v>
      </c>
      <c r="V116" s="4">
        <f t="shared" si="63"/>
        <v>14.285714285714285</v>
      </c>
      <c r="W116" s="4">
        <f t="shared" si="64"/>
        <v>21.201413427561839</v>
      </c>
    </row>
    <row r="117" spans="2:23">
      <c r="B117" s="35">
        <v>2011</v>
      </c>
      <c r="C117" s="3">
        <v>1</v>
      </c>
      <c r="D117" s="36">
        <v>2</v>
      </c>
      <c r="E117" s="3">
        <f t="shared" si="57"/>
        <v>3</v>
      </c>
      <c r="F117" s="3">
        <v>138</v>
      </c>
      <c r="G117" s="36">
        <v>137</v>
      </c>
      <c r="H117" s="3">
        <v>275</v>
      </c>
      <c r="I117" s="4">
        <f t="shared" si="58"/>
        <v>7.2463768115942031</v>
      </c>
      <c r="J117" s="4">
        <f t="shared" si="59"/>
        <v>14.598540145985401</v>
      </c>
      <c r="K117" s="4">
        <f t="shared" si="60"/>
        <v>10.90909090909091</v>
      </c>
      <c r="L117" s="1"/>
      <c r="M117" s="1"/>
      <c r="N117" s="26">
        <v>2011</v>
      </c>
      <c r="O117" s="3">
        <f>1+0</f>
        <v>1</v>
      </c>
      <c r="P117" s="36">
        <f>2+1</f>
        <v>3</v>
      </c>
      <c r="Q117" s="3">
        <f t="shared" si="61"/>
        <v>4</v>
      </c>
      <c r="R117" s="3">
        <v>138</v>
      </c>
      <c r="S117" s="36">
        <v>137</v>
      </c>
      <c r="T117" s="3">
        <v>275</v>
      </c>
      <c r="U117" s="4">
        <f t="shared" si="62"/>
        <v>7.2463768115942031</v>
      </c>
      <c r="V117" s="4">
        <f t="shared" si="63"/>
        <v>21.897810218978105</v>
      </c>
      <c r="W117" s="4">
        <f t="shared" si="64"/>
        <v>14.545454545454545</v>
      </c>
    </row>
    <row r="118" spans="2:23">
      <c r="B118" s="35">
        <v>2012</v>
      </c>
      <c r="C118" s="3">
        <v>4</v>
      </c>
      <c r="D118" s="36">
        <v>0</v>
      </c>
      <c r="E118" s="3">
        <f t="shared" si="57"/>
        <v>4</v>
      </c>
      <c r="F118" s="3">
        <v>159</v>
      </c>
      <c r="G118" s="36">
        <v>163</v>
      </c>
      <c r="H118" s="3">
        <v>322</v>
      </c>
      <c r="I118" s="4">
        <f t="shared" si="58"/>
        <v>25.157232704402517</v>
      </c>
      <c r="J118" s="4">
        <f t="shared" si="59"/>
        <v>0</v>
      </c>
      <c r="K118" s="4">
        <f t="shared" si="60"/>
        <v>12.422360248447204</v>
      </c>
      <c r="L118" s="1"/>
      <c r="M118" s="1"/>
      <c r="N118" s="26">
        <v>2012</v>
      </c>
      <c r="O118" s="3">
        <f>4+0</f>
        <v>4</v>
      </c>
      <c r="P118" s="36">
        <f>0+0</f>
        <v>0</v>
      </c>
      <c r="Q118" s="3">
        <f t="shared" si="61"/>
        <v>4</v>
      </c>
      <c r="R118" s="3">
        <v>159</v>
      </c>
      <c r="S118" s="36">
        <v>163</v>
      </c>
      <c r="T118" s="3">
        <v>322</v>
      </c>
      <c r="U118" s="4">
        <f t="shared" si="62"/>
        <v>25.157232704402517</v>
      </c>
      <c r="V118" s="4">
        <f t="shared" si="63"/>
        <v>0</v>
      </c>
      <c r="W118" s="4">
        <f t="shared" si="64"/>
        <v>12.422360248447204</v>
      </c>
    </row>
    <row r="119" spans="2:23">
      <c r="B119" s="35">
        <v>2013</v>
      </c>
      <c r="C119" s="3">
        <v>3</v>
      </c>
      <c r="D119" s="36">
        <v>1</v>
      </c>
      <c r="E119" s="3">
        <f t="shared" si="57"/>
        <v>4</v>
      </c>
      <c r="F119" s="3">
        <v>147</v>
      </c>
      <c r="G119" s="36">
        <v>137</v>
      </c>
      <c r="H119" s="3">
        <v>284</v>
      </c>
      <c r="I119" s="4">
        <f t="shared" si="58"/>
        <v>20.408163265306122</v>
      </c>
      <c r="J119" s="4">
        <f t="shared" si="59"/>
        <v>7.2992700729927007</v>
      </c>
      <c r="K119" s="4">
        <f t="shared" si="60"/>
        <v>14.084507042253522</v>
      </c>
      <c r="L119" s="1"/>
      <c r="M119" s="1"/>
      <c r="N119" s="26">
        <v>2013</v>
      </c>
      <c r="O119" s="3">
        <f>3+0</f>
        <v>3</v>
      </c>
      <c r="P119" s="36">
        <f>1+0</f>
        <v>1</v>
      </c>
      <c r="Q119" s="3">
        <f t="shared" si="61"/>
        <v>4</v>
      </c>
      <c r="R119" s="3">
        <v>147</v>
      </c>
      <c r="S119" s="36">
        <v>137</v>
      </c>
      <c r="T119" s="3">
        <v>284</v>
      </c>
      <c r="U119" s="4">
        <f t="shared" si="62"/>
        <v>20.408163265306122</v>
      </c>
      <c r="V119" s="4">
        <f t="shared" si="63"/>
        <v>7.2992700729927007</v>
      </c>
      <c r="W119" s="4">
        <f t="shared" si="64"/>
        <v>14.084507042253522</v>
      </c>
    </row>
    <row r="120" spans="2:23">
      <c r="B120" s="35">
        <v>2014</v>
      </c>
      <c r="C120" s="3">
        <v>4</v>
      </c>
      <c r="D120" s="36">
        <v>1</v>
      </c>
      <c r="E120" s="3">
        <f t="shared" si="57"/>
        <v>5</v>
      </c>
      <c r="F120" s="3">
        <v>146</v>
      </c>
      <c r="G120" s="36">
        <v>137</v>
      </c>
      <c r="H120" s="3">
        <v>283</v>
      </c>
      <c r="I120" s="4">
        <f t="shared" si="58"/>
        <v>27.397260273972602</v>
      </c>
      <c r="J120" s="4">
        <f t="shared" si="59"/>
        <v>7.2992700729927007</v>
      </c>
      <c r="K120" s="4">
        <f t="shared" si="60"/>
        <v>17.667844522968199</v>
      </c>
      <c r="L120" s="1"/>
      <c r="M120" s="1"/>
      <c r="N120" s="26">
        <v>2014</v>
      </c>
      <c r="O120" s="3">
        <f>4+2</f>
        <v>6</v>
      </c>
      <c r="P120" s="36">
        <f>1+1</f>
        <v>2</v>
      </c>
      <c r="Q120" s="3">
        <f t="shared" si="61"/>
        <v>8</v>
      </c>
      <c r="R120" s="3">
        <v>146</v>
      </c>
      <c r="S120" s="36">
        <v>137</v>
      </c>
      <c r="T120" s="3">
        <v>283</v>
      </c>
      <c r="U120" s="4">
        <f t="shared" si="62"/>
        <v>41.095890410958901</v>
      </c>
      <c r="V120" s="4">
        <f t="shared" si="63"/>
        <v>14.598540145985401</v>
      </c>
      <c r="W120" s="4">
        <f t="shared" si="64"/>
        <v>28.268551236749115</v>
      </c>
    </row>
    <row r="121" spans="2:23">
      <c r="B121" s="35">
        <v>2015</v>
      </c>
      <c r="C121" s="3">
        <v>2</v>
      </c>
      <c r="D121" s="36">
        <v>0</v>
      </c>
      <c r="E121" s="3">
        <f t="shared" si="57"/>
        <v>2</v>
      </c>
      <c r="F121" s="3">
        <v>156</v>
      </c>
      <c r="G121" s="36">
        <v>145</v>
      </c>
      <c r="H121" s="3">
        <v>301</v>
      </c>
      <c r="I121" s="4">
        <f t="shared" si="58"/>
        <v>12.820512820512819</v>
      </c>
      <c r="J121" s="4">
        <f t="shared" si="59"/>
        <v>0</v>
      </c>
      <c r="K121" s="4">
        <f t="shared" si="60"/>
        <v>6.6445182724252492</v>
      </c>
      <c r="L121" s="1"/>
      <c r="M121" s="1"/>
      <c r="N121" s="26">
        <v>2015</v>
      </c>
      <c r="O121" s="3">
        <f>2+0</f>
        <v>2</v>
      </c>
      <c r="P121" s="36">
        <f>0+1</f>
        <v>1</v>
      </c>
      <c r="Q121" s="3">
        <f t="shared" si="61"/>
        <v>3</v>
      </c>
      <c r="R121" s="3">
        <v>156</v>
      </c>
      <c r="S121" s="36">
        <v>145</v>
      </c>
      <c r="T121" s="3">
        <v>301</v>
      </c>
      <c r="U121" s="4">
        <f t="shared" si="62"/>
        <v>12.820512820512819</v>
      </c>
      <c r="V121" s="4">
        <f t="shared" si="63"/>
        <v>6.8965517241379306</v>
      </c>
      <c r="W121" s="4">
        <f t="shared" si="64"/>
        <v>9.9667774086378724</v>
      </c>
    </row>
    <row r="122" spans="2:23">
      <c r="B122" s="5">
        <v>2016</v>
      </c>
      <c r="C122" s="3">
        <v>2</v>
      </c>
      <c r="D122" s="3">
        <v>0</v>
      </c>
      <c r="E122" s="3">
        <f t="shared" si="57"/>
        <v>2</v>
      </c>
      <c r="F122" s="3">
        <v>130</v>
      </c>
      <c r="G122" s="3">
        <v>118</v>
      </c>
      <c r="H122" s="3">
        <v>248</v>
      </c>
      <c r="I122" s="4">
        <f t="shared" si="58"/>
        <v>15.384615384615385</v>
      </c>
      <c r="J122" s="4">
        <f t="shared" si="59"/>
        <v>0</v>
      </c>
      <c r="K122" s="4">
        <f t="shared" si="60"/>
        <v>8.064516129032258</v>
      </c>
      <c r="L122" s="1"/>
      <c r="M122" s="1"/>
      <c r="N122" s="40">
        <v>2016</v>
      </c>
      <c r="O122" s="3">
        <f>2+1</f>
        <v>3</v>
      </c>
      <c r="P122" s="3">
        <f>0+0</f>
        <v>0</v>
      </c>
      <c r="Q122" s="3">
        <f t="shared" si="61"/>
        <v>3</v>
      </c>
      <c r="R122" s="3">
        <v>130</v>
      </c>
      <c r="S122" s="3">
        <v>118</v>
      </c>
      <c r="T122" s="3">
        <v>248</v>
      </c>
      <c r="U122" s="4">
        <f t="shared" si="62"/>
        <v>23.076923076923077</v>
      </c>
      <c r="V122" s="4">
        <f t="shared" si="63"/>
        <v>0</v>
      </c>
      <c r="W122" s="4">
        <f t="shared" si="64"/>
        <v>12.096774193548386</v>
      </c>
    </row>
    <row r="123" spans="2:2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>
      <c r="B125" s="2" t="s">
        <v>34</v>
      </c>
      <c r="C125" s="37"/>
      <c r="D125" s="38"/>
      <c r="E125" s="38"/>
      <c r="F125" s="38"/>
      <c r="G125" s="38" t="s">
        <v>20</v>
      </c>
      <c r="H125" s="38"/>
      <c r="I125" s="38"/>
      <c r="J125" s="38"/>
      <c r="K125" s="39"/>
      <c r="L125" s="1"/>
      <c r="M125" s="1"/>
      <c r="N125" s="2" t="s">
        <v>35</v>
      </c>
      <c r="O125" s="37"/>
      <c r="P125" s="38"/>
      <c r="Q125" s="38"/>
      <c r="R125" s="38"/>
      <c r="S125" s="38" t="s">
        <v>20</v>
      </c>
      <c r="T125" s="38"/>
      <c r="U125" s="38"/>
      <c r="V125" s="38"/>
      <c r="W125" s="39"/>
    </row>
    <row r="126" spans="2:23">
      <c r="B126" s="23" t="s">
        <v>25</v>
      </c>
      <c r="C126" s="20"/>
      <c r="D126" s="21" t="s">
        <v>26</v>
      </c>
      <c r="E126" s="22"/>
      <c r="F126" s="23"/>
      <c r="G126" s="21" t="s">
        <v>7</v>
      </c>
      <c r="H126" s="24"/>
      <c r="I126" s="50" t="s">
        <v>34</v>
      </c>
      <c r="J126" s="51"/>
      <c r="K126" s="52"/>
      <c r="L126" s="1"/>
      <c r="M126" s="1"/>
      <c r="N126" s="19" t="s">
        <v>25</v>
      </c>
      <c r="O126" s="20"/>
      <c r="P126" s="21" t="s">
        <v>26</v>
      </c>
      <c r="Q126" s="22"/>
      <c r="R126" s="23"/>
      <c r="S126" s="21" t="s">
        <v>7</v>
      </c>
      <c r="T126" s="24"/>
      <c r="U126" s="50" t="s">
        <v>35</v>
      </c>
      <c r="V126" s="51"/>
      <c r="W126" s="52"/>
    </row>
    <row r="127" spans="2:23">
      <c r="B127" s="40"/>
      <c r="C127" s="40" t="s">
        <v>28</v>
      </c>
      <c r="D127" s="41" t="s">
        <v>29</v>
      </c>
      <c r="E127" s="42" t="s">
        <v>30</v>
      </c>
      <c r="F127" s="29" t="s">
        <v>28</v>
      </c>
      <c r="G127" s="30" t="s">
        <v>29</v>
      </c>
      <c r="H127" s="31" t="s">
        <v>30</v>
      </c>
      <c r="I127" s="32" t="s">
        <v>28</v>
      </c>
      <c r="J127" s="33" t="s">
        <v>29</v>
      </c>
      <c r="K127" s="34" t="s">
        <v>31</v>
      </c>
      <c r="L127" s="1"/>
      <c r="M127" s="1"/>
      <c r="N127" s="5"/>
      <c r="O127" s="26" t="s">
        <v>28</v>
      </c>
      <c r="P127" s="27" t="s">
        <v>29</v>
      </c>
      <c r="Q127" s="28" t="s">
        <v>30</v>
      </c>
      <c r="R127" s="29" t="s">
        <v>28</v>
      </c>
      <c r="S127" s="30" t="s">
        <v>29</v>
      </c>
      <c r="T127" s="31" t="s">
        <v>30</v>
      </c>
      <c r="U127" s="43" t="s">
        <v>28</v>
      </c>
      <c r="V127" s="44" t="s">
        <v>29</v>
      </c>
      <c r="W127" s="45" t="s">
        <v>31</v>
      </c>
    </row>
    <row r="128" spans="2:23">
      <c r="B128" s="19">
        <v>2007</v>
      </c>
      <c r="C128" s="3">
        <v>2</v>
      </c>
      <c r="D128" s="3">
        <v>2</v>
      </c>
      <c r="E128" s="3">
        <f t="shared" ref="E128:E137" si="65">SUM(C128:D128)</f>
        <v>4</v>
      </c>
      <c r="F128" s="3">
        <v>209</v>
      </c>
      <c r="G128" s="3">
        <v>217</v>
      </c>
      <c r="H128" s="3">
        <v>426</v>
      </c>
      <c r="I128" s="4">
        <f t="shared" ref="I128:I137" si="66">C128/F128*1000</f>
        <v>9.5693779904306222</v>
      </c>
      <c r="J128" s="4">
        <f t="shared" ref="J128:J137" si="67">D128/G128*1000</f>
        <v>9.2165898617511512</v>
      </c>
      <c r="K128" s="4">
        <f t="shared" ref="K128:K137" si="68">E128/H128*1000</f>
        <v>9.3896713615023479</v>
      </c>
      <c r="L128" s="1"/>
      <c r="M128" s="1"/>
      <c r="N128" s="26">
        <v>2007</v>
      </c>
      <c r="O128" s="3">
        <f>2+1</f>
        <v>3</v>
      </c>
      <c r="P128" s="3">
        <f>2+2</f>
        <v>4</v>
      </c>
      <c r="Q128" s="3">
        <f t="shared" ref="Q128:Q137" si="69">SUM(O128:P128)</f>
        <v>7</v>
      </c>
      <c r="R128" s="3">
        <v>209</v>
      </c>
      <c r="S128" s="3">
        <v>217</v>
      </c>
      <c r="T128" s="3">
        <v>426</v>
      </c>
      <c r="U128" s="4">
        <f t="shared" ref="U128:U137" si="70">O128/R128*1000</f>
        <v>14.354066985645934</v>
      </c>
      <c r="V128" s="4">
        <f t="shared" ref="V128:V137" si="71">P128/S128*1000</f>
        <v>18.433179723502302</v>
      </c>
      <c r="W128" s="4">
        <f t="shared" ref="W128:W137" si="72">Q128/T128*1000</f>
        <v>16.431924882629108</v>
      </c>
    </row>
    <row r="129" spans="2:23">
      <c r="B129" s="35">
        <v>2008</v>
      </c>
      <c r="C129" s="3">
        <v>10</v>
      </c>
      <c r="D129" s="3">
        <v>3</v>
      </c>
      <c r="E129" s="3">
        <f t="shared" si="65"/>
        <v>13</v>
      </c>
      <c r="F129" s="3">
        <v>221</v>
      </c>
      <c r="G129" s="36">
        <v>170</v>
      </c>
      <c r="H129" s="3">
        <v>391</v>
      </c>
      <c r="I129" s="4">
        <f t="shared" si="66"/>
        <v>45.248868778280539</v>
      </c>
      <c r="J129" s="4">
        <f t="shared" si="67"/>
        <v>17.647058823529413</v>
      </c>
      <c r="K129" s="4">
        <f t="shared" si="68"/>
        <v>33.248081841432231</v>
      </c>
      <c r="L129" s="1"/>
      <c r="M129" s="1"/>
      <c r="N129" s="26">
        <v>2008</v>
      </c>
      <c r="O129" s="3">
        <f>10+6</f>
        <v>16</v>
      </c>
      <c r="P129" s="3">
        <f>3+1</f>
        <v>4</v>
      </c>
      <c r="Q129" s="3">
        <f t="shared" si="69"/>
        <v>20</v>
      </c>
      <c r="R129" s="3">
        <v>221</v>
      </c>
      <c r="S129" s="36">
        <v>170</v>
      </c>
      <c r="T129" s="3">
        <v>391</v>
      </c>
      <c r="U129" s="4">
        <f t="shared" si="70"/>
        <v>72.398190045248882</v>
      </c>
      <c r="V129" s="4">
        <f t="shared" si="71"/>
        <v>23.52941176470588</v>
      </c>
      <c r="W129" s="4">
        <f t="shared" si="72"/>
        <v>51.150895140664957</v>
      </c>
    </row>
    <row r="130" spans="2:23">
      <c r="B130" s="35">
        <v>2009</v>
      </c>
      <c r="C130" s="3">
        <v>7</v>
      </c>
      <c r="D130" s="3">
        <v>3</v>
      </c>
      <c r="E130" s="3">
        <f t="shared" si="65"/>
        <v>10</v>
      </c>
      <c r="F130" s="3">
        <v>171</v>
      </c>
      <c r="G130" s="36">
        <v>212</v>
      </c>
      <c r="H130" s="3">
        <v>383</v>
      </c>
      <c r="I130" s="4">
        <f t="shared" si="66"/>
        <v>40.935672514619881</v>
      </c>
      <c r="J130" s="4">
        <f t="shared" si="67"/>
        <v>14.150943396226415</v>
      </c>
      <c r="K130" s="4">
        <f t="shared" si="68"/>
        <v>26.10966057441253</v>
      </c>
      <c r="L130" s="1"/>
      <c r="M130" s="1"/>
      <c r="N130" s="26">
        <v>2009</v>
      </c>
      <c r="O130" s="3">
        <f>7+2</f>
        <v>9</v>
      </c>
      <c r="P130" s="3">
        <f>3+0</f>
        <v>3</v>
      </c>
      <c r="Q130" s="3">
        <f t="shared" si="69"/>
        <v>12</v>
      </c>
      <c r="R130" s="3">
        <v>171</v>
      </c>
      <c r="S130" s="36">
        <v>212</v>
      </c>
      <c r="T130" s="3">
        <v>383</v>
      </c>
      <c r="U130" s="4">
        <f t="shared" si="70"/>
        <v>52.631578947368418</v>
      </c>
      <c r="V130" s="4">
        <f t="shared" si="71"/>
        <v>14.150943396226415</v>
      </c>
      <c r="W130" s="4">
        <f t="shared" si="72"/>
        <v>31.331592689295036</v>
      </c>
    </row>
    <row r="131" spans="2:23">
      <c r="B131" s="35">
        <v>2010</v>
      </c>
      <c r="C131" s="3">
        <v>5</v>
      </c>
      <c r="D131" s="36">
        <v>2</v>
      </c>
      <c r="E131" s="3">
        <f t="shared" si="65"/>
        <v>7</v>
      </c>
      <c r="F131" s="3">
        <v>217</v>
      </c>
      <c r="G131" s="36">
        <v>208</v>
      </c>
      <c r="H131" s="3">
        <v>425</v>
      </c>
      <c r="I131" s="4">
        <f t="shared" si="66"/>
        <v>23.041474654377883</v>
      </c>
      <c r="J131" s="4">
        <f t="shared" si="67"/>
        <v>9.6153846153846168</v>
      </c>
      <c r="K131" s="4">
        <f t="shared" si="68"/>
        <v>16.47058823529412</v>
      </c>
      <c r="L131" s="1"/>
      <c r="M131" s="1"/>
      <c r="N131" s="26">
        <v>2010</v>
      </c>
      <c r="O131" s="3">
        <f>5+3</f>
        <v>8</v>
      </c>
      <c r="P131" s="36">
        <f>2+0</f>
        <v>2</v>
      </c>
      <c r="Q131" s="3">
        <f t="shared" si="69"/>
        <v>10</v>
      </c>
      <c r="R131" s="3">
        <v>217</v>
      </c>
      <c r="S131" s="36">
        <v>208</v>
      </c>
      <c r="T131" s="3">
        <v>425</v>
      </c>
      <c r="U131" s="4">
        <f t="shared" si="70"/>
        <v>36.866359447004605</v>
      </c>
      <c r="V131" s="4">
        <f t="shared" si="71"/>
        <v>9.6153846153846168</v>
      </c>
      <c r="W131" s="4">
        <f t="shared" si="72"/>
        <v>23.52941176470588</v>
      </c>
    </row>
    <row r="132" spans="2:23">
      <c r="B132" s="35">
        <v>2011</v>
      </c>
      <c r="C132" s="3">
        <v>4</v>
      </c>
      <c r="D132" s="36">
        <v>3</v>
      </c>
      <c r="E132" s="3">
        <f t="shared" si="65"/>
        <v>7</v>
      </c>
      <c r="F132" s="3">
        <v>193</v>
      </c>
      <c r="G132" s="36">
        <v>191</v>
      </c>
      <c r="H132" s="3">
        <v>384</v>
      </c>
      <c r="I132" s="4">
        <f t="shared" si="66"/>
        <v>20.725388601036268</v>
      </c>
      <c r="J132" s="4">
        <f t="shared" si="67"/>
        <v>15.706806282722512</v>
      </c>
      <c r="K132" s="4">
        <f t="shared" si="68"/>
        <v>18.229166666666668</v>
      </c>
      <c r="L132" s="1"/>
      <c r="M132" s="1"/>
      <c r="N132" s="26">
        <v>2011</v>
      </c>
      <c r="O132" s="3">
        <f>4+1</f>
        <v>5</v>
      </c>
      <c r="P132" s="36">
        <f>3+0</f>
        <v>3</v>
      </c>
      <c r="Q132" s="3">
        <f t="shared" si="69"/>
        <v>8</v>
      </c>
      <c r="R132" s="3">
        <v>193</v>
      </c>
      <c r="S132" s="36">
        <v>191</v>
      </c>
      <c r="T132" s="3">
        <v>384</v>
      </c>
      <c r="U132" s="4">
        <f t="shared" si="70"/>
        <v>25.906735751295336</v>
      </c>
      <c r="V132" s="4">
        <f t="shared" si="71"/>
        <v>15.706806282722512</v>
      </c>
      <c r="W132" s="4">
        <f t="shared" si="72"/>
        <v>20.833333333333332</v>
      </c>
    </row>
    <row r="133" spans="2:23">
      <c r="B133" s="35">
        <v>2012</v>
      </c>
      <c r="C133" s="3">
        <v>1</v>
      </c>
      <c r="D133" s="36">
        <v>5</v>
      </c>
      <c r="E133" s="3">
        <f t="shared" si="65"/>
        <v>6</v>
      </c>
      <c r="F133" s="3">
        <v>217</v>
      </c>
      <c r="G133" s="36">
        <v>218</v>
      </c>
      <c r="H133" s="3">
        <v>435</v>
      </c>
      <c r="I133" s="4">
        <f t="shared" si="66"/>
        <v>4.6082949308755756</v>
      </c>
      <c r="J133" s="4">
        <f t="shared" si="67"/>
        <v>22.935779816513762</v>
      </c>
      <c r="K133" s="4">
        <f t="shared" si="68"/>
        <v>13.793103448275861</v>
      </c>
      <c r="L133" s="1"/>
      <c r="M133" s="1"/>
      <c r="N133" s="26">
        <v>2012</v>
      </c>
      <c r="O133" s="3">
        <f>1+1</f>
        <v>2</v>
      </c>
      <c r="P133" s="36">
        <f>5+1</f>
        <v>6</v>
      </c>
      <c r="Q133" s="3">
        <f t="shared" si="69"/>
        <v>8</v>
      </c>
      <c r="R133" s="3">
        <v>217</v>
      </c>
      <c r="S133" s="36">
        <v>218</v>
      </c>
      <c r="T133" s="3">
        <v>435</v>
      </c>
      <c r="U133" s="4">
        <f t="shared" si="70"/>
        <v>9.2165898617511512</v>
      </c>
      <c r="V133" s="4">
        <f t="shared" si="71"/>
        <v>27.522935779816514</v>
      </c>
      <c r="W133" s="4">
        <f t="shared" si="72"/>
        <v>18.390804597701148</v>
      </c>
    </row>
    <row r="134" spans="2:23">
      <c r="B134" s="35">
        <v>2013</v>
      </c>
      <c r="C134" s="3">
        <v>2</v>
      </c>
      <c r="D134" s="36">
        <v>5</v>
      </c>
      <c r="E134" s="3">
        <f t="shared" si="65"/>
        <v>7</v>
      </c>
      <c r="F134" s="3">
        <v>195</v>
      </c>
      <c r="G134" s="36">
        <v>185</v>
      </c>
      <c r="H134" s="3">
        <v>380</v>
      </c>
      <c r="I134" s="4">
        <f t="shared" si="66"/>
        <v>10.256410256410257</v>
      </c>
      <c r="J134" s="4">
        <f t="shared" si="67"/>
        <v>27.027027027027028</v>
      </c>
      <c r="K134" s="4">
        <f t="shared" si="68"/>
        <v>18.421052631578945</v>
      </c>
      <c r="L134" s="1"/>
      <c r="M134" s="1"/>
      <c r="N134" s="26">
        <v>2013</v>
      </c>
      <c r="O134" s="3">
        <f>2+0</f>
        <v>2</v>
      </c>
      <c r="P134" s="36">
        <f>5+1</f>
        <v>6</v>
      </c>
      <c r="Q134" s="3">
        <f t="shared" si="69"/>
        <v>8</v>
      </c>
      <c r="R134" s="3">
        <v>195</v>
      </c>
      <c r="S134" s="36">
        <v>185</v>
      </c>
      <c r="T134" s="3">
        <v>380</v>
      </c>
      <c r="U134" s="4">
        <f t="shared" si="70"/>
        <v>10.256410256410257</v>
      </c>
      <c r="V134" s="4">
        <f t="shared" si="71"/>
        <v>32.432432432432435</v>
      </c>
      <c r="W134" s="4">
        <f t="shared" si="72"/>
        <v>21.052631578947366</v>
      </c>
    </row>
    <row r="135" spans="2:23">
      <c r="B135" s="35">
        <v>2014</v>
      </c>
      <c r="C135" s="3">
        <v>4</v>
      </c>
      <c r="D135" s="36">
        <v>2</v>
      </c>
      <c r="E135" s="3">
        <f t="shared" si="65"/>
        <v>6</v>
      </c>
      <c r="F135" s="3">
        <v>187</v>
      </c>
      <c r="G135" s="36">
        <v>214</v>
      </c>
      <c r="H135" s="3">
        <v>401</v>
      </c>
      <c r="I135" s="4">
        <f t="shared" si="66"/>
        <v>21.390374331550802</v>
      </c>
      <c r="J135" s="4">
        <f t="shared" si="67"/>
        <v>9.3457943925233646</v>
      </c>
      <c r="K135" s="4">
        <f t="shared" si="68"/>
        <v>14.962593516209475</v>
      </c>
      <c r="L135" s="1"/>
      <c r="M135" s="1"/>
      <c r="N135" s="26">
        <v>2014</v>
      </c>
      <c r="O135" s="3">
        <f>4+1</f>
        <v>5</v>
      </c>
      <c r="P135" s="36">
        <f>2+0</f>
        <v>2</v>
      </c>
      <c r="Q135" s="3">
        <f t="shared" si="69"/>
        <v>7</v>
      </c>
      <c r="R135" s="3">
        <v>187</v>
      </c>
      <c r="S135" s="36">
        <v>214</v>
      </c>
      <c r="T135" s="3">
        <v>401</v>
      </c>
      <c r="U135" s="4">
        <f t="shared" si="70"/>
        <v>26.737967914438503</v>
      </c>
      <c r="V135" s="4">
        <f t="shared" si="71"/>
        <v>9.3457943925233646</v>
      </c>
      <c r="W135" s="4">
        <f t="shared" si="72"/>
        <v>17.456359102244388</v>
      </c>
    </row>
    <row r="136" spans="2:23">
      <c r="B136" s="35">
        <v>2015</v>
      </c>
      <c r="C136" s="3">
        <v>1</v>
      </c>
      <c r="D136" s="36">
        <v>3</v>
      </c>
      <c r="E136" s="3">
        <f t="shared" si="65"/>
        <v>4</v>
      </c>
      <c r="F136" s="3">
        <v>200</v>
      </c>
      <c r="G136" s="36">
        <v>171</v>
      </c>
      <c r="H136" s="3">
        <v>371</v>
      </c>
      <c r="I136" s="4">
        <f t="shared" si="66"/>
        <v>5</v>
      </c>
      <c r="J136" s="4">
        <f t="shared" si="67"/>
        <v>17.543859649122805</v>
      </c>
      <c r="K136" s="4">
        <f t="shared" si="68"/>
        <v>10.781671159029651</v>
      </c>
      <c r="L136" s="1"/>
      <c r="M136" s="1"/>
      <c r="N136" s="26">
        <v>2015</v>
      </c>
      <c r="O136" s="3">
        <f>1+1</f>
        <v>2</v>
      </c>
      <c r="P136" s="36">
        <f>3+0</f>
        <v>3</v>
      </c>
      <c r="Q136" s="3">
        <f t="shared" si="69"/>
        <v>5</v>
      </c>
      <c r="R136" s="3">
        <v>200</v>
      </c>
      <c r="S136" s="36">
        <v>171</v>
      </c>
      <c r="T136" s="3">
        <v>371</v>
      </c>
      <c r="U136" s="4">
        <f t="shared" si="70"/>
        <v>10</v>
      </c>
      <c r="V136" s="4">
        <f t="shared" si="71"/>
        <v>17.543859649122805</v>
      </c>
      <c r="W136" s="4">
        <f t="shared" si="72"/>
        <v>13.477088948787063</v>
      </c>
    </row>
    <row r="137" spans="2:23">
      <c r="B137" s="5">
        <v>2016</v>
      </c>
      <c r="C137" s="3">
        <v>1</v>
      </c>
      <c r="D137" s="3">
        <v>3</v>
      </c>
      <c r="E137" s="3">
        <f t="shared" si="65"/>
        <v>4</v>
      </c>
      <c r="F137" s="3">
        <v>205</v>
      </c>
      <c r="G137" s="3">
        <v>172</v>
      </c>
      <c r="H137" s="3">
        <v>377</v>
      </c>
      <c r="I137" s="4">
        <f t="shared" si="66"/>
        <v>4.8780487804878048</v>
      </c>
      <c r="J137" s="4">
        <f t="shared" si="67"/>
        <v>17.441860465116278</v>
      </c>
      <c r="K137" s="4">
        <f t="shared" si="68"/>
        <v>10.610079575596817</v>
      </c>
      <c r="L137" s="1"/>
      <c r="M137" s="1"/>
      <c r="N137" s="40">
        <v>2016</v>
      </c>
      <c r="O137" s="3">
        <f>1+1</f>
        <v>2</v>
      </c>
      <c r="P137" s="3">
        <f>3+0</f>
        <v>3</v>
      </c>
      <c r="Q137" s="3">
        <f t="shared" si="69"/>
        <v>5</v>
      </c>
      <c r="R137" s="3">
        <v>205</v>
      </c>
      <c r="S137" s="3">
        <v>172</v>
      </c>
      <c r="T137" s="3">
        <v>377</v>
      </c>
      <c r="U137" s="4">
        <f t="shared" si="70"/>
        <v>9.7560975609756095</v>
      </c>
      <c r="V137" s="4">
        <f t="shared" si="71"/>
        <v>17.441860465116278</v>
      </c>
      <c r="W137" s="4">
        <f t="shared" si="72"/>
        <v>13.262599469496022</v>
      </c>
    </row>
    <row r="138" spans="2:2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>
      <c r="B140" s="2" t="s">
        <v>34</v>
      </c>
      <c r="C140" s="37"/>
      <c r="D140" s="38"/>
      <c r="E140" s="38"/>
      <c r="F140" s="38"/>
      <c r="G140" s="38" t="s">
        <v>21</v>
      </c>
      <c r="H140" s="38"/>
      <c r="I140" s="38"/>
      <c r="J140" s="38"/>
      <c r="K140" s="39"/>
      <c r="L140" s="1"/>
      <c r="M140" s="1"/>
      <c r="N140" s="2" t="s">
        <v>35</v>
      </c>
      <c r="O140" s="37"/>
      <c r="P140" s="38"/>
      <c r="Q140" s="38"/>
      <c r="R140" s="38"/>
      <c r="S140" s="38" t="s">
        <v>21</v>
      </c>
      <c r="T140" s="38"/>
      <c r="U140" s="38"/>
      <c r="V140" s="38"/>
      <c r="W140" s="39"/>
    </row>
    <row r="141" spans="2:23">
      <c r="B141" s="23" t="s">
        <v>25</v>
      </c>
      <c r="C141" s="20"/>
      <c r="D141" s="21" t="s">
        <v>26</v>
      </c>
      <c r="E141" s="22"/>
      <c r="F141" s="23"/>
      <c r="G141" s="21" t="s">
        <v>7</v>
      </c>
      <c r="H141" s="24"/>
      <c r="I141" s="50" t="s">
        <v>34</v>
      </c>
      <c r="J141" s="51"/>
      <c r="K141" s="52"/>
      <c r="L141" s="1"/>
      <c r="M141" s="1"/>
      <c r="N141" s="19" t="s">
        <v>25</v>
      </c>
      <c r="O141" s="20"/>
      <c r="P141" s="21" t="s">
        <v>26</v>
      </c>
      <c r="Q141" s="22"/>
      <c r="R141" s="23"/>
      <c r="S141" s="21" t="s">
        <v>7</v>
      </c>
      <c r="T141" s="24"/>
      <c r="U141" s="50" t="s">
        <v>35</v>
      </c>
      <c r="V141" s="51"/>
      <c r="W141" s="52"/>
    </row>
    <row r="142" spans="2:23">
      <c r="B142" s="40"/>
      <c r="C142" s="40" t="s">
        <v>28</v>
      </c>
      <c r="D142" s="41" t="s">
        <v>29</v>
      </c>
      <c r="E142" s="42" t="s">
        <v>30</v>
      </c>
      <c r="F142" s="29" t="s">
        <v>28</v>
      </c>
      <c r="G142" s="30" t="s">
        <v>29</v>
      </c>
      <c r="H142" s="31" t="s">
        <v>30</v>
      </c>
      <c r="I142" s="32" t="s">
        <v>28</v>
      </c>
      <c r="J142" s="33" t="s">
        <v>29</v>
      </c>
      <c r="K142" s="34" t="s">
        <v>31</v>
      </c>
      <c r="L142" s="1"/>
      <c r="M142" s="1"/>
      <c r="N142" s="5"/>
      <c r="O142" s="26" t="s">
        <v>28</v>
      </c>
      <c r="P142" s="27" t="s">
        <v>29</v>
      </c>
      <c r="Q142" s="28" t="s">
        <v>30</v>
      </c>
      <c r="R142" s="29" t="s">
        <v>28</v>
      </c>
      <c r="S142" s="30" t="s">
        <v>29</v>
      </c>
      <c r="T142" s="31" t="s">
        <v>30</v>
      </c>
      <c r="U142" s="43" t="s">
        <v>28</v>
      </c>
      <c r="V142" s="44" t="s">
        <v>29</v>
      </c>
      <c r="W142" s="45" t="s">
        <v>31</v>
      </c>
    </row>
    <row r="143" spans="2:23">
      <c r="B143" s="19">
        <v>2007</v>
      </c>
      <c r="C143" s="3">
        <v>5</v>
      </c>
      <c r="D143" s="3">
        <v>8</v>
      </c>
      <c r="E143" s="3">
        <f t="shared" ref="E143:E152" si="73">SUM(C143:D143)</f>
        <v>13</v>
      </c>
      <c r="F143" s="3">
        <v>387</v>
      </c>
      <c r="G143" s="3">
        <v>418</v>
      </c>
      <c r="H143" s="3">
        <v>805</v>
      </c>
      <c r="I143" s="4">
        <f t="shared" ref="I143:I152" si="74">C143/F143*1000</f>
        <v>12.919896640826872</v>
      </c>
      <c r="J143" s="4">
        <f t="shared" ref="J143:J152" si="75">D143/G143*1000</f>
        <v>19.138755980861244</v>
      </c>
      <c r="K143" s="4">
        <f t="shared" ref="K143:K152" si="76">E143/H143*1000</f>
        <v>16.149068322981368</v>
      </c>
      <c r="L143" s="1"/>
      <c r="M143" s="1"/>
      <c r="N143" s="26">
        <v>2007</v>
      </c>
      <c r="O143" s="3">
        <f>5+5</f>
        <v>10</v>
      </c>
      <c r="P143" s="3">
        <f>8+4</f>
        <v>12</v>
      </c>
      <c r="Q143" s="3">
        <f t="shared" ref="Q143:Q152" si="77">SUM(O143:P143)</f>
        <v>22</v>
      </c>
      <c r="R143" s="3">
        <v>387</v>
      </c>
      <c r="S143" s="3">
        <v>418</v>
      </c>
      <c r="T143" s="3">
        <v>805</v>
      </c>
      <c r="U143" s="4">
        <f t="shared" ref="U143:U152" si="78">O143/R143*1000</f>
        <v>25.839793281653744</v>
      </c>
      <c r="V143" s="4">
        <f t="shared" ref="V143:V152" si="79">P143/S143*1000</f>
        <v>28.708133971291868</v>
      </c>
      <c r="W143" s="4">
        <f t="shared" ref="W143:W152" si="80">Q143/T143*1000</f>
        <v>27.329192546583851</v>
      </c>
    </row>
    <row r="144" spans="2:23">
      <c r="B144" s="35">
        <v>2008</v>
      </c>
      <c r="C144" s="3">
        <v>8</v>
      </c>
      <c r="D144" s="3">
        <v>8</v>
      </c>
      <c r="E144" s="3">
        <f t="shared" si="73"/>
        <v>16</v>
      </c>
      <c r="F144" s="3">
        <v>430</v>
      </c>
      <c r="G144" s="36">
        <v>420</v>
      </c>
      <c r="H144" s="3">
        <v>850</v>
      </c>
      <c r="I144" s="4">
        <f t="shared" si="74"/>
        <v>18.604651162790699</v>
      </c>
      <c r="J144" s="4">
        <f t="shared" si="75"/>
        <v>19.047619047619051</v>
      </c>
      <c r="K144" s="4">
        <f t="shared" si="76"/>
        <v>18.823529411764703</v>
      </c>
      <c r="L144" s="1"/>
      <c r="M144" s="1"/>
      <c r="N144" s="26">
        <v>2008</v>
      </c>
      <c r="O144" s="3">
        <f>8+4</f>
        <v>12</v>
      </c>
      <c r="P144" s="3">
        <f>7+2</f>
        <v>9</v>
      </c>
      <c r="Q144" s="3">
        <f t="shared" si="77"/>
        <v>21</v>
      </c>
      <c r="R144" s="3">
        <v>430</v>
      </c>
      <c r="S144" s="36">
        <v>420</v>
      </c>
      <c r="T144" s="3">
        <v>850</v>
      </c>
      <c r="U144" s="4">
        <f t="shared" si="78"/>
        <v>27.906976744186046</v>
      </c>
      <c r="V144" s="4">
        <f t="shared" si="79"/>
        <v>21.428571428571427</v>
      </c>
      <c r="W144" s="4">
        <f t="shared" si="80"/>
        <v>24.705882352941174</v>
      </c>
    </row>
    <row r="145" spans="2:23">
      <c r="B145" s="35">
        <v>2009</v>
      </c>
      <c r="C145" s="3">
        <v>8</v>
      </c>
      <c r="D145" s="3">
        <v>5</v>
      </c>
      <c r="E145" s="3">
        <f t="shared" si="73"/>
        <v>13</v>
      </c>
      <c r="F145" s="3">
        <v>445</v>
      </c>
      <c r="G145" s="36">
        <v>459</v>
      </c>
      <c r="H145" s="3">
        <v>904</v>
      </c>
      <c r="I145" s="4">
        <f t="shared" si="74"/>
        <v>17.977528089887642</v>
      </c>
      <c r="J145" s="4">
        <f t="shared" si="75"/>
        <v>10.893246187363834</v>
      </c>
      <c r="K145" s="4">
        <f t="shared" si="76"/>
        <v>14.380530973451327</v>
      </c>
      <c r="L145" s="1"/>
      <c r="M145" s="1"/>
      <c r="N145" s="26">
        <v>2009</v>
      </c>
      <c r="O145" s="3">
        <f>8+5</f>
        <v>13</v>
      </c>
      <c r="P145" s="3">
        <f>5+5</f>
        <v>10</v>
      </c>
      <c r="Q145" s="3">
        <f t="shared" si="77"/>
        <v>23</v>
      </c>
      <c r="R145" s="3">
        <v>445</v>
      </c>
      <c r="S145" s="36">
        <v>459</v>
      </c>
      <c r="T145" s="3">
        <v>904</v>
      </c>
      <c r="U145" s="4">
        <f t="shared" si="78"/>
        <v>29.213483146067418</v>
      </c>
      <c r="V145" s="4">
        <f t="shared" si="79"/>
        <v>21.786492374727668</v>
      </c>
      <c r="W145" s="4">
        <f t="shared" si="80"/>
        <v>25.442477876106196</v>
      </c>
    </row>
    <row r="146" spans="2:23">
      <c r="B146" s="35">
        <v>2010</v>
      </c>
      <c r="C146" s="3">
        <v>12</v>
      </c>
      <c r="D146" s="36">
        <v>10</v>
      </c>
      <c r="E146" s="3">
        <f t="shared" si="73"/>
        <v>22</v>
      </c>
      <c r="F146" s="3">
        <v>404</v>
      </c>
      <c r="G146" s="36">
        <v>364</v>
      </c>
      <c r="H146" s="3">
        <v>768</v>
      </c>
      <c r="I146" s="4">
        <f t="shared" si="74"/>
        <v>29.702970297029701</v>
      </c>
      <c r="J146" s="4">
        <f t="shared" si="75"/>
        <v>27.472527472527471</v>
      </c>
      <c r="K146" s="4">
        <f t="shared" si="76"/>
        <v>28.645833333333332</v>
      </c>
      <c r="L146" s="1"/>
      <c r="M146" s="1"/>
      <c r="N146" s="26">
        <v>2010</v>
      </c>
      <c r="O146" s="3">
        <f>12+2</f>
        <v>14</v>
      </c>
      <c r="P146" s="36">
        <f>10+3</f>
        <v>13</v>
      </c>
      <c r="Q146" s="3">
        <f t="shared" si="77"/>
        <v>27</v>
      </c>
      <c r="R146" s="3">
        <v>404</v>
      </c>
      <c r="S146" s="36">
        <v>364</v>
      </c>
      <c r="T146" s="3">
        <v>768</v>
      </c>
      <c r="U146" s="4">
        <f t="shared" si="78"/>
        <v>34.653465346534659</v>
      </c>
      <c r="V146" s="4">
        <f t="shared" si="79"/>
        <v>35.714285714285715</v>
      </c>
      <c r="W146" s="4">
        <f t="shared" si="80"/>
        <v>35.15625</v>
      </c>
    </row>
    <row r="147" spans="2:23">
      <c r="B147" s="35">
        <v>2011</v>
      </c>
      <c r="C147" s="3">
        <v>4</v>
      </c>
      <c r="D147" s="36">
        <v>6</v>
      </c>
      <c r="E147" s="3">
        <f t="shared" si="73"/>
        <v>10</v>
      </c>
      <c r="F147" s="3">
        <v>408</v>
      </c>
      <c r="G147" s="36">
        <v>327</v>
      </c>
      <c r="H147" s="3">
        <v>735</v>
      </c>
      <c r="I147" s="4">
        <f t="shared" si="74"/>
        <v>9.8039215686274517</v>
      </c>
      <c r="J147" s="4">
        <f t="shared" si="75"/>
        <v>18.348623853211009</v>
      </c>
      <c r="K147" s="4">
        <f t="shared" si="76"/>
        <v>13.605442176870747</v>
      </c>
      <c r="L147" s="1"/>
      <c r="M147" s="1"/>
      <c r="N147" s="26">
        <v>2011</v>
      </c>
      <c r="O147" s="3">
        <f>4+0</f>
        <v>4</v>
      </c>
      <c r="P147" s="36">
        <f>6+1</f>
        <v>7</v>
      </c>
      <c r="Q147" s="3">
        <f t="shared" si="77"/>
        <v>11</v>
      </c>
      <c r="R147" s="3">
        <v>408</v>
      </c>
      <c r="S147" s="36">
        <v>327</v>
      </c>
      <c r="T147" s="3">
        <v>735</v>
      </c>
      <c r="U147" s="4">
        <f t="shared" si="78"/>
        <v>9.8039215686274517</v>
      </c>
      <c r="V147" s="4">
        <f t="shared" si="79"/>
        <v>21.406727828746178</v>
      </c>
      <c r="W147" s="4">
        <f t="shared" si="80"/>
        <v>14.965986394557822</v>
      </c>
    </row>
    <row r="148" spans="2:23">
      <c r="B148" s="35">
        <v>2012</v>
      </c>
      <c r="C148" s="3">
        <v>4</v>
      </c>
      <c r="D148" s="36">
        <v>8</v>
      </c>
      <c r="E148" s="3">
        <f t="shared" si="73"/>
        <v>12</v>
      </c>
      <c r="F148" s="3">
        <v>370</v>
      </c>
      <c r="G148" s="36">
        <v>370</v>
      </c>
      <c r="H148" s="3">
        <v>740</v>
      </c>
      <c r="I148" s="4">
        <f t="shared" si="74"/>
        <v>10.810810810810811</v>
      </c>
      <c r="J148" s="4">
        <f t="shared" si="75"/>
        <v>21.621621621621621</v>
      </c>
      <c r="K148" s="4">
        <f t="shared" si="76"/>
        <v>16.216216216216218</v>
      </c>
      <c r="L148" s="1"/>
      <c r="M148" s="1"/>
      <c r="N148" s="26">
        <v>2012</v>
      </c>
      <c r="O148" s="3">
        <f>4+3</f>
        <v>7</v>
      </c>
      <c r="P148" s="36">
        <f>8+2</f>
        <v>10</v>
      </c>
      <c r="Q148" s="3">
        <f t="shared" si="77"/>
        <v>17</v>
      </c>
      <c r="R148" s="3">
        <v>370</v>
      </c>
      <c r="S148" s="36">
        <v>370</v>
      </c>
      <c r="T148" s="3">
        <v>740</v>
      </c>
      <c r="U148" s="4">
        <f t="shared" si="78"/>
        <v>18.918918918918919</v>
      </c>
      <c r="V148" s="4">
        <f t="shared" si="79"/>
        <v>27.027027027027028</v>
      </c>
      <c r="W148" s="4">
        <f t="shared" si="80"/>
        <v>22.972972972972975</v>
      </c>
    </row>
    <row r="149" spans="2:23">
      <c r="B149" s="35">
        <v>2013</v>
      </c>
      <c r="C149" s="3">
        <v>10</v>
      </c>
      <c r="D149" s="36">
        <v>4</v>
      </c>
      <c r="E149" s="3">
        <f t="shared" si="73"/>
        <v>14</v>
      </c>
      <c r="F149" s="3">
        <v>376</v>
      </c>
      <c r="G149" s="36">
        <v>374</v>
      </c>
      <c r="H149" s="3">
        <v>750</v>
      </c>
      <c r="I149" s="4">
        <f t="shared" si="74"/>
        <v>26.595744680851062</v>
      </c>
      <c r="J149" s="4">
        <f t="shared" si="75"/>
        <v>10.695187165775401</v>
      </c>
      <c r="K149" s="4">
        <f t="shared" si="76"/>
        <v>18.666666666666668</v>
      </c>
      <c r="L149" s="1"/>
      <c r="M149" s="1"/>
      <c r="N149" s="26">
        <v>2013</v>
      </c>
      <c r="O149" s="3">
        <f>10+4</f>
        <v>14</v>
      </c>
      <c r="P149" s="36">
        <f>4+2</f>
        <v>6</v>
      </c>
      <c r="Q149" s="3">
        <f t="shared" si="77"/>
        <v>20</v>
      </c>
      <c r="R149" s="3">
        <v>376</v>
      </c>
      <c r="S149" s="36">
        <v>374</v>
      </c>
      <c r="T149" s="3">
        <v>750</v>
      </c>
      <c r="U149" s="4">
        <f t="shared" si="78"/>
        <v>37.234042553191486</v>
      </c>
      <c r="V149" s="4">
        <f t="shared" si="79"/>
        <v>16.042780748663102</v>
      </c>
      <c r="W149" s="4">
        <f t="shared" si="80"/>
        <v>26.666666666666668</v>
      </c>
    </row>
    <row r="150" spans="2:23">
      <c r="B150" s="35">
        <v>2014</v>
      </c>
      <c r="C150" s="3">
        <v>11</v>
      </c>
      <c r="D150" s="36">
        <v>4</v>
      </c>
      <c r="E150" s="3">
        <f t="shared" si="73"/>
        <v>15</v>
      </c>
      <c r="F150" s="3">
        <v>364</v>
      </c>
      <c r="G150" s="36">
        <v>386</v>
      </c>
      <c r="H150" s="3">
        <v>750</v>
      </c>
      <c r="I150" s="4">
        <f t="shared" si="74"/>
        <v>30.219780219780219</v>
      </c>
      <c r="J150" s="4">
        <f t="shared" si="75"/>
        <v>10.362694300518134</v>
      </c>
      <c r="K150" s="4">
        <f t="shared" si="76"/>
        <v>20</v>
      </c>
      <c r="L150" s="1"/>
      <c r="M150" s="1"/>
      <c r="N150" s="26">
        <v>2014</v>
      </c>
      <c r="O150" s="3">
        <f>11+3</f>
        <v>14</v>
      </c>
      <c r="P150" s="36">
        <f>4+1</f>
        <v>5</v>
      </c>
      <c r="Q150" s="3">
        <f t="shared" si="77"/>
        <v>19</v>
      </c>
      <c r="R150" s="3">
        <v>364</v>
      </c>
      <c r="S150" s="36">
        <v>386</v>
      </c>
      <c r="T150" s="3">
        <v>750</v>
      </c>
      <c r="U150" s="4">
        <f t="shared" si="78"/>
        <v>38.461538461538467</v>
      </c>
      <c r="V150" s="4">
        <f t="shared" si="79"/>
        <v>12.953367875647668</v>
      </c>
      <c r="W150" s="4">
        <f t="shared" si="80"/>
        <v>25.333333333333332</v>
      </c>
    </row>
    <row r="151" spans="2:23">
      <c r="B151" s="35">
        <v>2015</v>
      </c>
      <c r="C151" s="3">
        <v>7</v>
      </c>
      <c r="D151" s="36">
        <v>4</v>
      </c>
      <c r="E151" s="3">
        <f t="shared" si="73"/>
        <v>11</v>
      </c>
      <c r="F151" s="3">
        <v>399</v>
      </c>
      <c r="G151" s="36">
        <v>385</v>
      </c>
      <c r="H151" s="3">
        <v>784</v>
      </c>
      <c r="I151" s="4">
        <f t="shared" si="74"/>
        <v>17.543859649122805</v>
      </c>
      <c r="J151" s="4">
        <f t="shared" si="75"/>
        <v>10.38961038961039</v>
      </c>
      <c r="K151" s="4">
        <f t="shared" si="76"/>
        <v>14.030612244897959</v>
      </c>
      <c r="L151" s="1"/>
      <c r="M151" s="1"/>
      <c r="N151" s="26">
        <v>2015</v>
      </c>
      <c r="O151" s="3">
        <f>7+3</f>
        <v>10</v>
      </c>
      <c r="P151" s="36">
        <f>4+0</f>
        <v>4</v>
      </c>
      <c r="Q151" s="3">
        <f t="shared" si="77"/>
        <v>14</v>
      </c>
      <c r="R151" s="3">
        <v>399</v>
      </c>
      <c r="S151" s="36">
        <v>385</v>
      </c>
      <c r="T151" s="3">
        <v>784</v>
      </c>
      <c r="U151" s="4">
        <f t="shared" si="78"/>
        <v>25.062656641604008</v>
      </c>
      <c r="V151" s="4">
        <f t="shared" si="79"/>
        <v>10.38961038961039</v>
      </c>
      <c r="W151" s="4">
        <f t="shared" si="80"/>
        <v>17.857142857142858</v>
      </c>
    </row>
    <row r="152" spans="2:23">
      <c r="B152" s="5">
        <v>2016</v>
      </c>
      <c r="C152" s="3">
        <v>6</v>
      </c>
      <c r="D152" s="3">
        <v>4</v>
      </c>
      <c r="E152" s="3">
        <f t="shared" si="73"/>
        <v>10</v>
      </c>
      <c r="F152" s="3">
        <v>376</v>
      </c>
      <c r="G152" s="3">
        <v>341</v>
      </c>
      <c r="H152" s="3">
        <v>717</v>
      </c>
      <c r="I152" s="4">
        <f t="shared" si="74"/>
        <v>15.957446808510637</v>
      </c>
      <c r="J152" s="4">
        <f t="shared" si="75"/>
        <v>11.730205278592376</v>
      </c>
      <c r="K152" s="4">
        <f t="shared" si="76"/>
        <v>13.947001394700139</v>
      </c>
      <c r="L152" s="1"/>
      <c r="M152" s="1"/>
      <c r="N152" s="40">
        <v>2016</v>
      </c>
      <c r="O152" s="3">
        <f>6+1</f>
        <v>7</v>
      </c>
      <c r="P152" s="3">
        <f>4+2</f>
        <v>6</v>
      </c>
      <c r="Q152" s="3">
        <f t="shared" si="77"/>
        <v>13</v>
      </c>
      <c r="R152" s="3">
        <v>376</v>
      </c>
      <c r="S152" s="3">
        <v>341</v>
      </c>
      <c r="T152" s="3">
        <v>717</v>
      </c>
      <c r="U152" s="4">
        <f t="shared" si="78"/>
        <v>18.617021276595743</v>
      </c>
      <c r="V152" s="4">
        <f t="shared" si="79"/>
        <v>17.595307917888565</v>
      </c>
      <c r="W152" s="4">
        <f t="shared" si="80"/>
        <v>18.131101813110181</v>
      </c>
    </row>
  </sheetData>
  <mergeCells count="20">
    <mergeCell ref="I111:K111"/>
    <mergeCell ref="I126:K126"/>
    <mergeCell ref="I141:K141"/>
    <mergeCell ref="U141:W141"/>
    <mergeCell ref="U126:W126"/>
    <mergeCell ref="U111:W111"/>
    <mergeCell ref="U6:W6"/>
    <mergeCell ref="I6:K6"/>
    <mergeCell ref="U96:W96"/>
    <mergeCell ref="U81:W81"/>
    <mergeCell ref="U66:W66"/>
    <mergeCell ref="U51:W51"/>
    <mergeCell ref="U36:W36"/>
    <mergeCell ref="U21:W21"/>
    <mergeCell ref="I21:K21"/>
    <mergeCell ref="I36:K36"/>
    <mergeCell ref="I51:K51"/>
    <mergeCell ref="I66:K66"/>
    <mergeCell ref="I81:K81"/>
    <mergeCell ref="I96:K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CBR</vt:lpstr>
      <vt:lpstr>IMR-U5MR-SURINAME</vt:lpstr>
      <vt:lpstr>Sheet3</vt:lpstr>
      <vt:lpstr>IMR-U5MR-DISTRICTEN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Iwan Sno</cp:lastModifiedBy>
  <dcterms:created xsi:type="dcterms:W3CDTF">2018-07-26T12:50:35Z</dcterms:created>
  <dcterms:modified xsi:type="dcterms:W3CDTF">2018-07-26T16:52:15Z</dcterms:modified>
</cp:coreProperties>
</file>