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497" documentId="8_{B3B83033-B754-4275-B813-88EFD32D22FB}" xr6:coauthVersionLast="47" xr6:coauthVersionMax="47" xr10:uidLastSave="{847EA6B3-E31D-4EB7-9E22-3C89C3DA361C}"/>
  <bookViews>
    <workbookView xWindow="-120" yWindow="-120" windowWidth="20730" windowHeight="11040" firstSheet="8" activeTab="16" xr2:uid="{E0D44FA5-78C7-4D51-9C96-682924FC8195}"/>
  </bookViews>
  <sheets>
    <sheet name="SDG 8 with score" sheetId="107" r:id="rId1"/>
    <sheet name="8.1.1" sheetId="36" r:id="rId2"/>
    <sheet name="8.2.1" sheetId="70" r:id="rId3"/>
    <sheet name="8.3.1" sheetId="87" r:id="rId4"/>
    <sheet name="8.4.1" sheetId="88" r:id="rId5"/>
    <sheet name="8.4.2" sheetId="89" r:id="rId6"/>
    <sheet name="8.5.1" sheetId="53" r:id="rId7"/>
    <sheet name="8.5.2" sheetId="48" r:id="rId8"/>
    <sheet name="8.6.1" sheetId="54" r:id="rId9"/>
    <sheet name="8.7.1" sheetId="84" r:id="rId10"/>
    <sheet name="8.8.1" sheetId="49" r:id="rId11"/>
    <sheet name="8.8.2" sheetId="91" r:id="rId12"/>
    <sheet name="8.9.1" sheetId="92" r:id="rId13"/>
    <sheet name="8.10.1" sheetId="50" r:id="rId14"/>
    <sheet name="8.10.2" sheetId="90" r:id="rId15"/>
    <sheet name="8.a.1" sheetId="108" r:id="rId16"/>
    <sheet name="8b1" sheetId="97" r:id="rId17"/>
    <sheet name="ILO Arbeidsverdragen" sheetId="96" r:id="rId18"/>
    <sheet name="ARbeidswetten" sheetId="101" r:id="rId19"/>
  </sheets>
  <externalReferences>
    <externalReference r:id="rId20"/>
  </externalReferences>
  <definedNames>
    <definedName name="_GoBack" localSheetId="12">'8.9.1'!#REF!</definedName>
    <definedName name="_xlnm.Print_Area" localSheetId="8">'8.6.1'!$B$48:$P$70</definedName>
    <definedName name="_xlnm.Print_Area" localSheetId="10">'8.8.1'!#REF!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50" l="1"/>
  <c r="Q47" i="50" s="1"/>
  <c r="P45" i="50"/>
  <c r="P47" i="50" s="1"/>
  <c r="R37" i="50"/>
  <c r="R38" i="50"/>
  <c r="R39" i="50"/>
  <c r="R40" i="50"/>
  <c r="R41" i="50"/>
  <c r="R42" i="50"/>
  <c r="R43" i="50"/>
  <c r="R44" i="50"/>
  <c r="R36" i="50"/>
  <c r="J51" i="50"/>
  <c r="K51" i="50"/>
  <c r="I51" i="50"/>
  <c r="L38" i="50"/>
  <c r="L51" i="50" s="1"/>
  <c r="L39" i="50"/>
  <c r="L40" i="50"/>
  <c r="L41" i="50"/>
  <c r="L42" i="50"/>
  <c r="L43" i="50"/>
  <c r="L44" i="50"/>
  <c r="L45" i="50"/>
  <c r="L46" i="50"/>
  <c r="L47" i="50"/>
  <c r="L48" i="50"/>
  <c r="L49" i="50"/>
  <c r="L50" i="50"/>
  <c r="L37" i="50"/>
  <c r="S47" i="50"/>
  <c r="Q17" i="108"/>
  <c r="Q7" i="108"/>
  <c r="H134" i="48"/>
  <c r="I105" i="48"/>
  <c r="H105" i="48"/>
  <c r="E101" i="49"/>
  <c r="E98" i="49"/>
  <c r="E97" i="49"/>
  <c r="E95" i="49"/>
  <c r="E93" i="49"/>
  <c r="E92" i="49"/>
  <c r="E91" i="49"/>
  <c r="E90" i="49"/>
  <c r="E89" i="49"/>
  <c r="E88" i="49"/>
  <c r="E87" i="49"/>
  <c r="E86" i="49"/>
  <c r="E85" i="49"/>
  <c r="J38" i="49"/>
  <c r="J37" i="49"/>
  <c r="E38" i="49"/>
  <c r="E37" i="49"/>
  <c r="R45" i="50" l="1"/>
  <c r="R47" i="50" s="1"/>
  <c r="Y84" i="53"/>
  <c r="Z84" i="53" s="1"/>
  <c r="Y83" i="53"/>
  <c r="Y82" i="53"/>
  <c r="Y81" i="53"/>
  <c r="Z81" i="53" s="1"/>
  <c r="Y80" i="53"/>
  <c r="Z80" i="53" s="1"/>
  <c r="Y79" i="53"/>
  <c r="Z79" i="53" s="1"/>
  <c r="Y78" i="53"/>
  <c r="Z78" i="53" s="1"/>
  <c r="Y77" i="53"/>
  <c r="Z77" i="53" s="1"/>
  <c r="Y76" i="53"/>
  <c r="Z76" i="53" s="1"/>
  <c r="Y75" i="53"/>
  <c r="Y74" i="53"/>
  <c r="Z74" i="53" s="1"/>
  <c r="Y73" i="53"/>
  <c r="Z73" i="53" s="1"/>
  <c r="Y72" i="53"/>
  <c r="Z72" i="53" s="1"/>
  <c r="Y71" i="53"/>
  <c r="Z71" i="53" s="1"/>
  <c r="Y70" i="53"/>
  <c r="Z70" i="53" s="1"/>
  <c r="Y69" i="53"/>
  <c r="Z69" i="53" s="1"/>
  <c r="Y68" i="53"/>
  <c r="V84" i="53"/>
  <c r="V83" i="53"/>
  <c r="W83" i="53" s="1"/>
  <c r="V82" i="53"/>
  <c r="W82" i="53" s="1"/>
  <c r="V81" i="53"/>
  <c r="W81" i="53" s="1"/>
  <c r="V80" i="53"/>
  <c r="W80" i="53" s="1"/>
  <c r="V79" i="53"/>
  <c r="W79" i="53" s="1"/>
  <c r="V78" i="53"/>
  <c r="W78" i="53" s="1"/>
  <c r="V77" i="53"/>
  <c r="W77" i="53" s="1"/>
  <c r="V76" i="53"/>
  <c r="V75" i="53"/>
  <c r="W75" i="53" s="1"/>
  <c r="V74" i="53"/>
  <c r="W74" i="53" s="1"/>
  <c r="V73" i="53"/>
  <c r="W73" i="53" s="1"/>
  <c r="V72" i="53"/>
  <c r="W72" i="53" s="1"/>
  <c r="V71" i="53"/>
  <c r="W71" i="53" s="1"/>
  <c r="V70" i="53"/>
  <c r="W70" i="53" s="1"/>
  <c r="V69" i="53"/>
  <c r="W69" i="53" s="1"/>
  <c r="V68" i="53"/>
  <c r="W68" i="53" s="1"/>
  <c r="X85" i="53"/>
  <c r="U85" i="53"/>
  <c r="W84" i="53"/>
  <c r="Z83" i="53"/>
  <c r="Z82" i="53"/>
  <c r="W76" i="53"/>
  <c r="Z75" i="53"/>
  <c r="V95" i="53"/>
  <c r="W95" i="53" s="1"/>
  <c r="Y95" i="53"/>
  <c r="Z95" i="53" s="1"/>
  <c r="Y111" i="53"/>
  <c r="Z111" i="53" s="1"/>
  <c r="Y110" i="53"/>
  <c r="Z110" i="53" s="1"/>
  <c r="Y109" i="53"/>
  <c r="Z109" i="53" s="1"/>
  <c r="Y108" i="53"/>
  <c r="Z108" i="53" s="1"/>
  <c r="Y107" i="53"/>
  <c r="Z107" i="53" s="1"/>
  <c r="Y106" i="53"/>
  <c r="Z106" i="53" s="1"/>
  <c r="Y105" i="53"/>
  <c r="Z105" i="53" s="1"/>
  <c r="Y104" i="53"/>
  <c r="Z104" i="53" s="1"/>
  <c r="Y103" i="53"/>
  <c r="Z103" i="53" s="1"/>
  <c r="Y102" i="53"/>
  <c r="Z102" i="53" s="1"/>
  <c r="Y101" i="53"/>
  <c r="Z101" i="53" s="1"/>
  <c r="Y100" i="53"/>
  <c r="Z100" i="53" s="1"/>
  <c r="Y99" i="53"/>
  <c r="Z99" i="53" s="1"/>
  <c r="Y98" i="53"/>
  <c r="Z98" i="53" s="1"/>
  <c r="Y97" i="53"/>
  <c r="Z97" i="53" s="1"/>
  <c r="Y96" i="53"/>
  <c r="Z96" i="53" s="1"/>
  <c r="V111" i="53"/>
  <c r="W111" i="53" s="1"/>
  <c r="V110" i="53"/>
  <c r="W110" i="53" s="1"/>
  <c r="V109" i="53"/>
  <c r="W109" i="53" s="1"/>
  <c r="V108" i="53"/>
  <c r="W108" i="53" s="1"/>
  <c r="V107" i="53"/>
  <c r="W107" i="53" s="1"/>
  <c r="V106" i="53"/>
  <c r="W106" i="53" s="1"/>
  <c r="V105" i="53"/>
  <c r="W105" i="53" s="1"/>
  <c r="V104" i="53"/>
  <c r="W104" i="53" s="1"/>
  <c r="V103" i="53"/>
  <c r="W103" i="53" s="1"/>
  <c r="V102" i="53"/>
  <c r="W102" i="53" s="1"/>
  <c r="V101" i="53"/>
  <c r="W101" i="53" s="1"/>
  <c r="V100" i="53"/>
  <c r="W100" i="53" s="1"/>
  <c r="V99" i="53"/>
  <c r="W99" i="53" s="1"/>
  <c r="V98" i="53"/>
  <c r="W98" i="53" s="1"/>
  <c r="V97" i="53"/>
  <c r="W97" i="53" s="1"/>
  <c r="V96" i="53"/>
  <c r="W96" i="53" s="1"/>
  <c r="X112" i="53"/>
  <c r="U112" i="53"/>
  <c r="I39" i="92"/>
  <c r="J39" i="92"/>
  <c r="K39" i="92"/>
  <c r="L39" i="92"/>
  <c r="Y85" i="53" l="1"/>
  <c r="Z85" i="53" s="1"/>
  <c r="Z68" i="53"/>
  <c r="V85" i="53"/>
  <c r="W85" i="53" s="1"/>
  <c r="Y112" i="53"/>
  <c r="Z112" i="53" s="1"/>
  <c r="V112" i="53"/>
  <c r="W112" i="53" s="1"/>
  <c r="F27" i="49"/>
  <c r="K27" i="49"/>
  <c r="N27" i="49"/>
  <c r="H84" i="53"/>
  <c r="G84" i="53"/>
  <c r="E84" i="53"/>
  <c r="D84" i="53"/>
  <c r="AC21" i="107"/>
  <c r="AC20" i="107"/>
  <c r="AC19" i="107"/>
  <c r="AC18" i="107"/>
  <c r="AC17" i="107"/>
  <c r="AC16" i="107"/>
  <c r="AC15" i="107"/>
  <c r="AC14" i="107"/>
  <c r="AC13" i="107"/>
  <c r="AC12" i="107"/>
  <c r="AC11" i="107"/>
  <c r="AC10" i="107"/>
  <c r="AC9" i="107"/>
  <c r="AC8" i="107"/>
  <c r="AC7" i="107"/>
  <c r="AC6" i="107"/>
  <c r="D4" i="107"/>
  <c r="D39" i="92" l="1"/>
  <c r="E39" i="92"/>
  <c r="F39" i="92"/>
  <c r="G39" i="92"/>
  <c r="H39" i="92"/>
  <c r="C39" i="92"/>
  <c r="M28" i="49" l="1"/>
  <c r="J36" i="49"/>
  <c r="J35" i="49"/>
  <c r="E36" i="49"/>
  <c r="E35" i="49"/>
  <c r="H62" i="54"/>
  <c r="H63" i="54"/>
  <c r="D62" i="54"/>
  <c r="D63" i="54"/>
  <c r="P46" i="54"/>
  <c r="P45" i="54"/>
  <c r="P30" i="54"/>
  <c r="I11" i="54"/>
  <c r="H11" i="54"/>
  <c r="E11" i="54"/>
  <c r="C11" i="54"/>
  <c r="F11" i="54"/>
  <c r="D11" i="54"/>
  <c r="D70" i="54"/>
  <c r="I51" i="54" s="1"/>
  <c r="E70" i="54"/>
  <c r="I52" i="54" s="1"/>
  <c r="F70" i="54"/>
  <c r="I53" i="54" s="1"/>
  <c r="G70" i="54"/>
  <c r="I54" i="54" s="1"/>
  <c r="H70" i="54"/>
  <c r="I55" i="54" s="1"/>
  <c r="I70" i="54"/>
  <c r="I56" i="54" s="1"/>
  <c r="J70" i="54"/>
  <c r="I57" i="54" s="1"/>
  <c r="K70" i="54"/>
  <c r="I58" i="54" s="1"/>
  <c r="L70" i="54"/>
  <c r="I59" i="54" s="1"/>
  <c r="M70" i="54"/>
  <c r="I60" i="54" s="1"/>
  <c r="N70" i="54"/>
  <c r="I61" i="54" s="1"/>
  <c r="C70" i="54"/>
  <c r="I50" i="54" s="1"/>
  <c r="H51" i="54"/>
  <c r="H52" i="54"/>
  <c r="H53" i="54"/>
  <c r="H54" i="54"/>
  <c r="H55" i="54"/>
  <c r="H56" i="54"/>
  <c r="H57" i="54"/>
  <c r="H58" i="54"/>
  <c r="H59" i="54"/>
  <c r="H60" i="54"/>
  <c r="H61" i="54"/>
  <c r="H50" i="54"/>
  <c r="D51" i="54"/>
  <c r="D52" i="54"/>
  <c r="D53" i="54"/>
  <c r="D54" i="54"/>
  <c r="D55" i="54"/>
  <c r="D56" i="54"/>
  <c r="D57" i="54"/>
  <c r="D58" i="54"/>
  <c r="D59" i="54"/>
  <c r="D60" i="54"/>
  <c r="D61" i="54"/>
  <c r="D50" i="54"/>
  <c r="J13" i="48"/>
  <c r="J14" i="48"/>
  <c r="J15" i="48"/>
  <c r="J16" i="48"/>
  <c r="J17" i="48"/>
  <c r="J18" i="48"/>
  <c r="J19" i="48"/>
  <c r="J20" i="48"/>
  <c r="J21" i="48"/>
  <c r="J22" i="48"/>
  <c r="J12" i="48"/>
  <c r="F13" i="48"/>
  <c r="F14" i="48"/>
  <c r="F15" i="48"/>
  <c r="F16" i="48"/>
  <c r="F17" i="48"/>
  <c r="F18" i="48"/>
  <c r="F19" i="48"/>
  <c r="F20" i="48"/>
  <c r="F21" i="48"/>
  <c r="F22" i="48"/>
  <c r="F12" i="48"/>
  <c r="Q24" i="50"/>
  <c r="R24" i="50"/>
  <c r="P24" i="50"/>
  <c r="E19" i="50"/>
  <c r="G17" i="50"/>
  <c r="G19" i="50" s="1"/>
  <c r="H17" i="50"/>
  <c r="H19" i="50" s="1"/>
  <c r="F17" i="50"/>
  <c r="F19" i="50" s="1"/>
  <c r="BK22" i="50"/>
  <c r="BC45" i="50"/>
  <c r="AJ58" i="50"/>
  <c r="AO58" i="50"/>
  <c r="AD52" i="50"/>
  <c r="AG52" i="50"/>
  <c r="S13" i="48"/>
  <c r="V13" i="48" s="1"/>
  <c r="T13" i="48"/>
  <c r="W13" i="48" s="1"/>
  <c r="U13" i="48"/>
  <c r="X13" i="48" s="1"/>
  <c r="S14" i="48"/>
  <c r="V14" i="48" s="1"/>
  <c r="T14" i="48"/>
  <c r="W14" i="48" s="1"/>
  <c r="U14" i="48"/>
  <c r="X14" i="48" s="1"/>
  <c r="S15" i="48"/>
  <c r="V15" i="48" s="1"/>
  <c r="T15" i="48"/>
  <c r="W15" i="48" s="1"/>
  <c r="U15" i="48"/>
  <c r="X15" i="48" s="1"/>
  <c r="S16" i="48"/>
  <c r="V16" i="48" s="1"/>
  <c r="T16" i="48"/>
  <c r="W16" i="48" s="1"/>
  <c r="U16" i="48"/>
  <c r="X16" i="48" s="1"/>
  <c r="S17" i="48"/>
  <c r="V17" i="48" s="1"/>
  <c r="T17" i="48"/>
  <c r="W17" i="48" s="1"/>
  <c r="U17" i="48"/>
  <c r="X17" i="48" s="1"/>
  <c r="S18" i="48"/>
  <c r="V18" i="48" s="1"/>
  <c r="T18" i="48"/>
  <c r="W18" i="48" s="1"/>
  <c r="U18" i="48"/>
  <c r="X18" i="48" s="1"/>
  <c r="S19" i="48"/>
  <c r="V19" i="48" s="1"/>
  <c r="T19" i="48"/>
  <c r="W19" i="48" s="1"/>
  <c r="U19" i="48"/>
  <c r="X19" i="48" s="1"/>
  <c r="S20" i="48"/>
  <c r="V20" i="48" s="1"/>
  <c r="T20" i="48"/>
  <c r="W20" i="48" s="1"/>
  <c r="U20" i="48"/>
  <c r="X20" i="48" s="1"/>
  <c r="S21" i="48"/>
  <c r="V21" i="48" s="1"/>
  <c r="T21" i="48"/>
  <c r="W21" i="48" s="1"/>
  <c r="U21" i="48"/>
  <c r="X21" i="48" s="1"/>
  <c r="S22" i="48"/>
  <c r="V22" i="48" s="1"/>
  <c r="T22" i="48"/>
  <c r="U22" i="48"/>
  <c r="X22" i="48" s="1"/>
  <c r="T12" i="48"/>
  <c r="W12" i="48" s="1"/>
  <c r="U12" i="48"/>
  <c r="X12" i="48" s="1"/>
  <c r="S12" i="48"/>
  <c r="V12" i="48" s="1"/>
  <c r="W22" i="48" l="1"/>
  <c r="V24" i="48"/>
  <c r="T24" i="48"/>
  <c r="M29" i="49"/>
  <c r="M30" i="49" s="1"/>
  <c r="M31" i="49" s="1"/>
  <c r="N28" i="49"/>
  <c r="F28" i="49"/>
  <c r="K28" i="49"/>
  <c r="N62" i="54"/>
  <c r="N50" i="54"/>
  <c r="N58" i="54"/>
  <c r="N59" i="54"/>
  <c r="N60" i="54"/>
  <c r="N54" i="54"/>
  <c r="N52" i="54"/>
  <c r="N53" i="54"/>
  <c r="N61" i="54"/>
  <c r="N55" i="54"/>
  <c r="N56" i="54"/>
  <c r="N57" i="54"/>
  <c r="N51" i="54"/>
  <c r="N63" i="54"/>
  <c r="K11" i="54"/>
  <c r="L11" i="54"/>
  <c r="M32" i="49" l="1"/>
  <c r="F30" i="49"/>
  <c r="K30" i="49"/>
  <c r="N30" i="49"/>
  <c r="F29" i="49"/>
  <c r="K29" i="49"/>
  <c r="N29" i="49"/>
  <c r="F32" i="49" l="1"/>
  <c r="N32" i="49"/>
  <c r="K32" i="49"/>
  <c r="M33" i="49"/>
  <c r="F33" i="49" l="1"/>
  <c r="N33" i="49"/>
  <c r="K33" i="49"/>
  <c r="M34" i="49"/>
  <c r="N34" i="49" l="1"/>
  <c r="F34" i="49"/>
  <c r="K34" i="49"/>
  <c r="M35" i="49"/>
  <c r="M36" i="49" s="1"/>
  <c r="N36" i="49" l="1"/>
  <c r="K36" i="49"/>
  <c r="F36" i="49"/>
  <c r="N35" i="49"/>
  <c r="F35" i="49"/>
  <c r="K35" i="49"/>
</calcChain>
</file>

<file path=xl/sharedStrings.xml><?xml version="1.0" encoding="utf-8"?>
<sst xmlns="http://schemas.openxmlformats.org/spreadsheetml/2006/main" count="2540" uniqueCount="1596">
  <si>
    <t>Goal 8. Promote sustained, inclusive and sustainable economic growth, full and productive employment and decent work for all</t>
  </si>
  <si>
    <t>Nationaal</t>
  </si>
  <si>
    <t>Regionaal</t>
  </si>
  <si>
    <t>Targets</t>
  </si>
  <si>
    <t>Indicator</t>
  </si>
  <si>
    <t>definition</t>
  </si>
  <si>
    <t>formula/calculation method</t>
  </si>
  <si>
    <t>Tier</t>
  </si>
  <si>
    <t>data-availability</t>
  </si>
  <si>
    <t>Source</t>
  </si>
  <si>
    <t>Agency</t>
  </si>
  <si>
    <t>website</t>
  </si>
  <si>
    <t>latest</t>
  </si>
  <si>
    <t>data available by sex, age, location etc</t>
  </si>
  <si>
    <t>national 'approved ' indicator: yes =1/No =0</t>
  </si>
  <si>
    <t>latest statistics</t>
  </si>
  <si>
    <t>reporting agency/ministry</t>
  </si>
  <si>
    <t>custodian</t>
  </si>
  <si>
    <t>linked to Nat.Dev.Plan  2017-2021 ; yes =1/ no=0</t>
  </si>
  <si>
    <t>linked to Nat.Dev.Plan 2022-2026 yes =1/ no=0</t>
  </si>
  <si>
    <t>linked to RP, yes =1/ no=0</t>
  </si>
  <si>
    <t>Linked to CARICOM ind; yes =1/ no=0</t>
  </si>
  <si>
    <t>Link to MSDCF; yes =1/ no=0</t>
  </si>
  <si>
    <t>national priority score</t>
  </si>
  <si>
    <t>remarks</t>
  </si>
  <si>
    <t>Yes =2, partial =1 / NO=0</t>
  </si>
  <si>
    <t>adm data</t>
  </si>
  <si>
    <t>census/ survey</t>
  </si>
  <si>
    <t>publications/ studies</t>
  </si>
  <si>
    <t>other</t>
  </si>
  <si>
    <t>NSO</t>
  </si>
  <si>
    <t>MINISTRY</t>
  </si>
  <si>
    <t>Other</t>
  </si>
  <si>
    <t>Survey/census</t>
  </si>
  <si>
    <t>Adm data</t>
  </si>
  <si>
    <t>year</t>
  </si>
  <si>
    <t>8.1 Sustain per capita economic growth in accordance with national circumstances and, in particular, at least 7 per cent gross domestic product growth per annum in the least developed countries</t>
  </si>
  <si>
    <t>8.1.1 Annual growth rate of real GDP per capita</t>
  </si>
  <si>
    <t>C080101</t>
  </si>
  <si>
    <t>Annual growth rate of real Gross Domestic Product (GDP) per capita is calculated as the percentage change in the real GDP per capita between two consecutive years. Real GDP per capita is calculated by dividing GDP at constant prices by the population of a country or area. The data for real GDP aremeasured in constant US dollars to facilitate the calculation of country growth rates and aggregation of the country data</t>
  </si>
  <si>
    <t>Tier I</t>
  </si>
  <si>
    <t>GBS</t>
  </si>
  <si>
    <t>National Accounts (GDP)</t>
  </si>
  <si>
    <t>SPS, estimates</t>
  </si>
  <si>
    <t>Yes</t>
  </si>
  <si>
    <t>min Fin</t>
  </si>
  <si>
    <t>https://statistics-suriname.org/wp-content/uploads/2024/09/NRsheet-2024-baseyear-2015-comb.pdf</t>
  </si>
  <si>
    <t>2023
2024 is a projection</t>
  </si>
  <si>
    <t>na</t>
  </si>
  <si>
    <t>2020, zie table VNR , excelframework, statistics</t>
  </si>
  <si>
    <t>min Fin/ GBS</t>
  </si>
  <si>
    <t xml:space="preserve">World Bank
</t>
  </si>
  <si>
    <t>8.2 Achieve higher levels of economic productivity through diversification, technological upgrading and innovation, including through a focus on high-value added and labour-intensive sectors</t>
  </si>
  <si>
    <t>8.2.1 Annual growth rate of real GDP per employed person</t>
  </si>
  <si>
    <t>C080201</t>
  </si>
  <si>
    <t>The annual growth rate of real GDP per employed person conveys the annual percentage change in real Gross Domestic Product per employed person. </t>
  </si>
  <si>
    <t>UN SDG Statistical Knowledge Management Hub</t>
  </si>
  <si>
    <t>ILO</t>
  </si>
  <si>
    <t>Regional data bank for statistical follow-up to the SDGs in Latin America and the Caribbean</t>
  </si>
  <si>
    <t>2023, see SDG Satistical Knowledge Management Hub</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</si>
  <si>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</si>
  <si>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8.3.1 Proportion of informal employment in total employment, by sector and sex</t>
  </si>
  <si>
    <t>C080302</t>
  </si>
  <si>
    <t>This indicator presents the share of employment which is classified as informal employment in the total economy, and separately in agriculture and in non-agriculture.</t>
  </si>
  <si>
    <t>Tier II</t>
  </si>
  <si>
    <t>NRA 2019</t>
  </si>
  <si>
    <t>Min Fin</t>
  </si>
  <si>
    <t>2025, See estimation in sheet 8.3.1</t>
  </si>
  <si>
    <t xml:space="preserve">CFATF
</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</si>
  <si>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</si>
  <si>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8.4.1 Material footprint, material footprint per capita, and material footprint per GDP</t>
  </si>
  <si>
    <t>C200202</t>
  </si>
  <si>
    <t>Material Footprint (MF) is the attribution of global material extraction to domestic final demand of a country. The total material footprint is the sum of the material footprint for biomass, fossil fuels, metal ores and non-metal ores.</t>
  </si>
  <si>
    <t xml:space="preserve">OECD
</t>
  </si>
  <si>
    <t>8.4.2 Domestic material consumption, domestic material consumption per capita, and domestic material consumption per GDP</t>
  </si>
  <si>
    <t>C200203</t>
  </si>
  <si>
    <t>UN</t>
  </si>
  <si>
    <t>2022, see SDG Satistical Knowledge Management Hub</t>
  </si>
  <si>
    <t xml:space="preserve">UNEP
</t>
  </si>
  <si>
    <t>Estimations of the SDG Global Database</t>
  </si>
  <si>
    <t>8.5 By 2030, achieve full and productive employment and decent work for all women and men, including for young people and persons with disabilities, and equal pay for work of equal value</t>
  </si>
  <si>
    <t>8.5.1 Average hourly earnings of employees, by sex, age, occupation and persons with disabilities</t>
  </si>
  <si>
    <t>C080501</t>
  </si>
  <si>
    <t>This indicator provides information on the mean hourly earnings from paid employment of employees by sex, occupation, age and disability status.</t>
  </si>
  <si>
    <t>Census &amp; Household Surveys/ IDB living survey</t>
  </si>
  <si>
    <t xml:space="preserve">min Fin </t>
  </si>
  <si>
    <t>https://statistics-suriname.org/wp-content/uploads/2019/05/Publicatie-Census-8-Volume-2-Onderwijs-Werkgelegenheid-en-Vervoer-Vruchtbaarheid-en-Sterfte-Gezondheid-en-Sport.pdf</t>
  </si>
  <si>
    <t xml:space="preserve">https://statistics-suriname.org/wp-content/uploads/2025/01/Statistisch-Jaarboek-Statistical-Yearbook-2020-2021-2022-dec-2023-corr-jan-2025.pdf </t>
  </si>
  <si>
    <t>2019 &amp; 2022</t>
  </si>
  <si>
    <t>2019 &amp; 2022, see NSO Statistical Yearbook , excelframework, statistics, SSLC</t>
  </si>
  <si>
    <t>Min Fin/GBS</t>
  </si>
  <si>
    <t xml:space="preserve">
</t>
  </si>
  <si>
    <t>Household survey only has data for Paramaribo and Wanica and Census data is outdated.</t>
  </si>
  <si>
    <t>8.5.2 Unemployment rate, by sex, age and persons with disabilities</t>
  </si>
  <si>
    <t>C080502</t>
  </si>
  <si>
    <t>The unemployment rate conveys the percentage of persons in the labour force who are unemployed. </t>
  </si>
  <si>
    <t>2012, 2019, 2022</t>
  </si>
  <si>
    <t>yes</t>
  </si>
  <si>
    <t xml:space="preserve">2019, zie table VNR , excelframework, statistics, NSO Statistical Yearbook </t>
  </si>
  <si>
    <t>8.6 By 2020, substantially reduce the proportion of youth not in employment, education or training</t>
  </si>
  <si>
    <t>8.6.1 Proportion of youth (aged 15–24 years) not in education, employment or training</t>
  </si>
  <si>
    <t>C080601</t>
  </si>
  <si>
    <t xml:space="preserve">This indicator conveys the proportion of youth (aged 15-24 years) not in education, employment or training (also known as "the youth NEET rate"). </t>
  </si>
  <si>
    <t>https://statistics-suriname.org/wp-content/uploads/2020/05/Huishoudens_Households-in-Suriname-2015-2018v1.pdf</t>
  </si>
  <si>
    <t>2012 &amp;2020</t>
  </si>
  <si>
    <t>2019, zie table VNR , excelframework, statistics</t>
  </si>
  <si>
    <t xml:space="preserve">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</si>
  <si>
    <t>8.7.1 Proportion and number of children aged 5–17 years engaged in child labour, by sex and age</t>
  </si>
  <si>
    <t>C080701</t>
  </si>
  <si>
    <t>The number of children engaged in child labour corresponds to the number of children reported to be in child labour during the reference period (usually the week prior to the survey). The proportion of children in child labour is calculated as the number of children in child labour divided by the total number of children in the population.  For the purposes of this indicator, children include all persons aged 5 to 17.  </t>
  </si>
  <si>
    <t>AWJ publ</t>
  </si>
  <si>
    <t>SOZAVO</t>
  </si>
  <si>
    <t>2018 &amp; 2022, zie table VNR , excelframework, statistics, results SSLC for 2022</t>
  </si>
  <si>
    <t>min Sozavo</t>
  </si>
  <si>
    <t xml:space="preserve">ILO,
UNICEF
</t>
  </si>
  <si>
    <t>Tables have to be filtered out of SSLC</t>
  </si>
  <si>
    <t>8.8 Protect labour rights and promote safe and secure working environments for all workers, including migrant workers, in particular women migrants, and those in precarious employment</t>
  </si>
  <si>
    <t>8.8.1 Fatal and non-fatal occupational injuries per 100,000 workers, by sex and migrant status</t>
  </si>
  <si>
    <t>C080801</t>
  </si>
  <si>
    <t>This indicator provides information on the number of fatal and non-fatal occupational injuries per 100,000 workers in the reference group during the reference period. It is a measure of the personal likelihood or risk of having a fatal or a non-fatal occupational injury for each worker in the reference group. </t>
  </si>
  <si>
    <t>AWJ, GBS</t>
  </si>
  <si>
    <t>Gender &amp; Stat. Yearbook</t>
  </si>
  <si>
    <t>AWJ</t>
  </si>
  <si>
    <t>national</t>
  </si>
  <si>
    <t xml:space="preserve">ILO
</t>
  </si>
  <si>
    <t>8.8.2 Level of national compliance with labour rights (freedom of association and collective bargaining) based on International Labour Organization (ILO) textual sources and national legislation, by sex and migrant status</t>
  </si>
  <si>
    <t>C080802</t>
  </si>
  <si>
    <t xml:space="preserve">The indicator measures the level of national compliance with fundamental rights at work (freedom of association and collective bargaining, FACB) for all ILO member states based on six international ILO supervisory body textual sources and also on national legislation. It is based on the coding of textual sources against a list of evaluation criteria and then converting the coding into indicators. </t>
  </si>
  <si>
    <t>DNA</t>
  </si>
  <si>
    <t>dna.sr/wetgeving</t>
  </si>
  <si>
    <t>8.9 By 2030, devise and implement policies to promote sustainable tourism that creates jobs and promotes local culture and products</t>
  </si>
  <si>
    <t>8.9.1 Tourism direct GDP as a proportion of total GDP and in growth rate</t>
  </si>
  <si>
    <t>C080901</t>
  </si>
  <si>
    <t>Tourism Direct GDP (TDGDP) is defined as the sum of the part of gross value added (at basic prices) generated by all industries in response to internal tourism consumption plus the amount of net taxes on products and imports included within the value of this expenditure at purchasers’ prices. The indicator relies on the Tourism Satellite Account: Recommended Methodological Framework 2008, an international standard adopted by the UN Statistical Commission and elaborated by UNWTO, OECD and EUROSTAT</t>
  </si>
  <si>
    <t xml:space="preserve">GBS/national accounts </t>
  </si>
  <si>
    <t>8.10 Strengthen the capacity of domestic financial institutions to encourage and expand access to banking, insurance and financial services for all</t>
  </si>
  <si>
    <t>C081001</t>
  </si>
  <si>
    <t xml:space="preserve">The number of commercial bank branches per 100,000 adults 
The number of automated teller machines (ATMs) per 100,000 adults 
</t>
  </si>
  <si>
    <t>verening van Bankwezen</t>
  </si>
  <si>
    <t>min FIN</t>
  </si>
  <si>
    <t>location</t>
  </si>
  <si>
    <t xml:space="preserve">UNCDF
</t>
  </si>
  <si>
    <t>8.10.2 Proportion of adults (15 years and older) with an account at a bank or other financial institution or with a mobile-money-service provider</t>
  </si>
  <si>
    <t>C081002</t>
  </si>
  <si>
    <t xml:space="preserve">The percentage of adults (ages 15+) who report having an account (by themselves or together with someone else) at a bank or another type of financial institution or personally using a mobile money service in the past 12 months. </t>
  </si>
  <si>
    <t>mics 2018</t>
  </si>
  <si>
    <t>Min sozavo</t>
  </si>
  <si>
    <t>8.a Increase Aid for Trade support for developing countries, in particular least developed countries, including through the Enhanced Integrated Framework for Trade-related Technical Assistance to Least Developed Countries</t>
  </si>
  <si>
    <t>8.a.1 Aid for Trade commitments and disbursements</t>
  </si>
  <si>
    <t>C080a01</t>
  </si>
  <si>
    <t>Aid for Trade commitments and disbursements is the gross disbursements and commitments of total Official Development Assistance (ODA) from all donors for aid for trade.</t>
  </si>
  <si>
    <t>EZOTI</t>
  </si>
  <si>
    <t xml:space="preserve">Suriname Debt Management Office, WTO </t>
  </si>
  <si>
    <t>World Bank</t>
  </si>
  <si>
    <t>https://www.wto.org/english/res_e/booksp_e/a4tatglance2022_e.pdf</t>
  </si>
  <si>
    <t>2020, 2022, 2023</t>
  </si>
  <si>
    <t xml:space="preserve">WTO-EIF
</t>
  </si>
  <si>
    <t>https://sdmo.org/documenten/debtpack/CreditorDebtData2025.pdf</t>
  </si>
  <si>
    <t>8.b By 2020, develop and operationalize a global strategy for youth employment and implement the Global Jobs Pact of the International Labour Organization</t>
  </si>
  <si>
    <t>8.b.1 Existence of a developed and operationalized national strategy for youth employment, as a distinct strategy or as part of a national employment strategy</t>
  </si>
  <si>
    <t>C080b01</t>
  </si>
  <si>
    <t xml:space="preserve">he proposed methodology draws on:
a. Global policy instruments, notably:
o Resolution on The youth employment crisis: A call for action, adopted at the 101st session of the International Labour Conference (ILC) in June 2012. In calling for vigorous, collective action to address an aggravated youth employment crisis, this resolution advocates for a multi-pronged approach with policy measures that are context-specific and integrated, entailing strategies which bring together in a coherent manner a variety of instruments to increase the demand, enhance the supply and improve matching in youth labour markets.
o Recovering from the crisis: A Global Jobs Pact  adopted by the ILC at its June 2009 session. Based on the ILO’s Decent Work Agenda, the Global Jobs Pact presents an integrated portfolio of policies that puts employment and social protection at the centre of crisis response, recognising the critical role of participation and social dialogue.   
b. ILO databases:
o International monitoring of youth employment policies was carried out over the period 2010-2012 by the Youth Employment Network (YEN) – a partnership between the ILO, United Nations and World Bank – utilising a questionnaire sent to national authorities. This evolved into YouthPOL , an inventory of youth employment policies and programmes maintained by the ILO (65 countries covered to date). 
o The ILO also maintains EmPol, a dataset of broader national employment policies (143 countries covered).
</t>
  </si>
  <si>
    <t>policy doc</t>
  </si>
  <si>
    <t xml:space="preserve">World Bank,
OECD
</t>
  </si>
  <si>
    <t>Year</t>
  </si>
  <si>
    <t>Real Growth in %</t>
  </si>
  <si>
    <t>Bedrijfstakken (Rev. 4)</t>
  </si>
  <si>
    <t>2021*</t>
  </si>
  <si>
    <t>2022*</t>
  </si>
  <si>
    <t>2023*</t>
  </si>
  <si>
    <t>2024*</t>
  </si>
  <si>
    <t>A.Agriculture, forestry and fishing</t>
  </si>
  <si>
    <t>B.Mining and quarrying (extraction)</t>
  </si>
  <si>
    <t>C.Manufacturing (inclusive milling and refining)</t>
  </si>
  <si>
    <t>D.Electricity, gas, steam and air conditioning supply</t>
  </si>
  <si>
    <t>E.Water supply; sewerage, waste management and remediation activities</t>
  </si>
  <si>
    <t>F.Construction</t>
  </si>
  <si>
    <t>G.Wholesale and retail trade; repair of motor vehicles and motorcycles</t>
  </si>
  <si>
    <t>H.Transportation and storage</t>
  </si>
  <si>
    <t>I.Accommodation and food service activities</t>
  </si>
  <si>
    <t>J.Information and communication</t>
  </si>
  <si>
    <t>K.Financial and insurance activities</t>
  </si>
  <si>
    <t>L.Real estate activities</t>
  </si>
  <si>
    <t>M.Professional, scientific and technical activities</t>
  </si>
  <si>
    <t>N.Administrative and support service activities</t>
  </si>
  <si>
    <t>O.Public administration and defense; compulsory social security</t>
  </si>
  <si>
    <t>P.Education</t>
  </si>
  <si>
    <t>Q.Human health and social work activities</t>
  </si>
  <si>
    <t>R.Arts, entertainment and recreation</t>
  </si>
  <si>
    <t>S.Other service activities</t>
  </si>
  <si>
    <t>T.Activities of households as employers; undifferentiated goods- and services-producing activities of households for own use</t>
  </si>
  <si>
    <t>*2021</t>
  </si>
  <si>
    <t>U.Activities of extraterritorial organizations and bodies</t>
  </si>
  <si>
    <t>*2022</t>
  </si>
  <si>
    <t>X.Unknown</t>
  </si>
  <si>
    <t>*2023</t>
  </si>
  <si>
    <t>Gross  Value Added  at basic prices</t>
  </si>
  <si>
    <t>Taxes less subsidies  on products</t>
  </si>
  <si>
    <t>GDP at market prices</t>
  </si>
  <si>
    <t>Real growth in %</t>
  </si>
  <si>
    <t>*Tentative figures</t>
  </si>
  <si>
    <t>https://www.cbvs.sr/</t>
  </si>
  <si>
    <t>Real statistics, Table 22.1</t>
  </si>
  <si>
    <t>Annual Growth rate of real GDP per employed person, 2001-2014</t>
  </si>
  <si>
    <t>Annual Growth rate of real GDP per employed person, 2000-2023</t>
  </si>
  <si>
    <t>Annual Growth rate of real GDP per employed person, 2015-2020</t>
  </si>
  <si>
    <t>Annual Growth rate of real GDP per employed person</t>
  </si>
  <si>
    <t>%</t>
  </si>
  <si>
    <t>Real GDP (baseyear 2015)</t>
  </si>
  <si>
    <t>number of employees</t>
  </si>
  <si>
    <t>Real GDP per employed person</t>
  </si>
  <si>
    <t>Annual growth rate of real GDP per employed person</t>
  </si>
  <si>
    <t>Source: GBS- National Accounts, feb 22</t>
  </si>
  <si>
    <t>This table is in VNR 2022 with National Planning Office as the Source. However, updated information is not to be found on their website</t>
  </si>
  <si>
    <t>Source: GBS- National Accounts,</t>
  </si>
  <si>
    <t>Source: UN SDG Statistical Knowledge Management Hub, Retrieved from:</t>
  </si>
  <si>
    <t>https://agenda2030lac.org/estadisticas/regional-data-bank-statistical-follow-up-sdg-1.html?indicator_id=5108&amp;lang=en</t>
  </si>
  <si>
    <t>Goal 8.2.1, Filter: Suriname</t>
  </si>
  <si>
    <t xml:space="preserve">Table SDG8. ... Estimates of the Non - Observed Economies of selected Caribean countries </t>
  </si>
  <si>
    <t>country/Year</t>
  </si>
  <si>
    <t>Average</t>
  </si>
  <si>
    <t>Suriname</t>
  </si>
  <si>
    <t>Suriname*</t>
  </si>
  <si>
    <t>Guyana</t>
  </si>
  <si>
    <t>Jamaica</t>
  </si>
  <si>
    <t>Haïti</t>
  </si>
  <si>
    <t xml:space="preserve">Source: Schneider, Buehn, and Montenegro (2010); *Kamau &amp; Lin (2015), Greenidge, Holder, and Mayers (2009) in Peters (2017). </t>
  </si>
  <si>
    <t>Suriname: Estimates of informal economy, using the average tax rate, 2001–2013</t>
  </si>
  <si>
    <t xml:space="preserve">Year </t>
  </si>
  <si>
    <t>Illegal</t>
  </si>
  <si>
    <t>Legal</t>
  </si>
  <si>
    <t>Income turning speed of legal money</t>
  </si>
  <si>
    <t>Informal economy</t>
  </si>
  <si>
    <t>Informal economy (in % of BBP)</t>
  </si>
  <si>
    <t>Money</t>
  </si>
  <si>
    <t>Real growth ratio in Suriname 1990-2012</t>
  </si>
  <si>
    <t>Real Growth Informal Economy (%)</t>
  </si>
  <si>
    <t>Real Growth Formal Economy (%)</t>
  </si>
  <si>
    <t>Real Growth Informal en Formal Economy (%)</t>
  </si>
  <si>
    <t>-4.3</t>
  </si>
  <si>
    <t>-65</t>
  </si>
  <si>
    <t>-30.4</t>
  </si>
  <si>
    <t>-02</t>
  </si>
  <si>
    <t>-80</t>
  </si>
  <si>
    <t>-7.3</t>
  </si>
  <si>
    <t>-31.6</t>
  </si>
  <si>
    <t>-70</t>
  </si>
  <si>
    <t>-47.7</t>
  </si>
  <si>
    <t>-63</t>
  </si>
  <si>
    <t>-0.6</t>
  </si>
  <si>
    <t>-43.2</t>
  </si>
  <si>
    <t>-59</t>
  </si>
  <si>
    <t>-0.2</t>
  </si>
  <si>
    <t>-25.8</t>
  </si>
  <si>
    <t>-49</t>
  </si>
  <si>
    <t>-14.2</t>
  </si>
  <si>
    <t>-45</t>
  </si>
  <si>
    <t>-4.2</t>
  </si>
  <si>
    <t>-9</t>
  </si>
  <si>
    <t>Informal sector in % GDP (market prices)</t>
  </si>
  <si>
    <t>-29</t>
  </si>
  <si>
    <t>-3.7</t>
  </si>
  <si>
    <t>Source: Kaman &amp; Lin (2015)</t>
  </si>
  <si>
    <t>Lower band</t>
  </si>
  <si>
    <t>Upper bands</t>
  </si>
  <si>
    <t xml:space="preserve">No data </t>
  </si>
  <si>
    <t>Domestic material consumption, by type of raw material, 
2000-2022</t>
  </si>
  <si>
    <t>Domestic material consumption per unit of GDP, by type of raw material, 
2000-2022</t>
  </si>
  <si>
    <t>Domestic material consumption per capita, by type of raw material, 
2000-2022</t>
  </si>
  <si>
    <t>Tonnes*</t>
  </si>
  <si>
    <t>Kilograms per constant 2015 United States dollars*</t>
  </si>
  <si>
    <t>2000</t>
  </si>
  <si>
    <t>2001</t>
  </si>
  <si>
    <t>2010</t>
  </si>
  <si>
    <t>2011</t>
  </si>
  <si>
    <t>2012</t>
  </si>
  <si>
    <t>2013</t>
  </si>
  <si>
    <t>2002</t>
  </si>
  <si>
    <t>2003</t>
  </si>
  <si>
    <t>2004</t>
  </si>
  <si>
    <t>2005</t>
  </si>
  <si>
    <t>2006</t>
  </si>
  <si>
    <t>2007</t>
  </si>
  <si>
    <t>2008</t>
  </si>
  <si>
    <t>2009</t>
  </si>
  <si>
    <t>2014</t>
  </si>
  <si>
    <t>2015</t>
  </si>
  <si>
    <t>2016</t>
  </si>
  <si>
    <t>2017</t>
  </si>
  <si>
    <t>2018</t>
  </si>
  <si>
    <t>2019</t>
  </si>
  <si>
    <t>2020</t>
  </si>
  <si>
    <t>2021</t>
  </si>
  <si>
    <t>2022</t>
  </si>
  <si>
    <t>Source: SDG Global Database, Retrieved from:</t>
  </si>
  <si>
    <t>Source:  SDG Global Database, Retrieved from:</t>
  </si>
  <si>
    <t>Goal 8.4.2, Filter: Suriname</t>
  </si>
  <si>
    <t>*Estimated data</t>
  </si>
  <si>
    <t xml:space="preserve">Concepts: </t>
  </si>
  <si>
    <t xml:space="preserve">
Earnings refer to the gross remuneration in cash or in kind paid to employees, as a rule at regular intervals, for time worked or work done together with remuneration for time not worked, such as annual vacation, other type of paid leave or holidays. Earnings exclude employers’ contributions in respect of their employees paid to social security and pension schemes and also the benefits received by employees under these schemes. Earnings also exclude severance and termination pay.  
For international comparability purposes, statistics of earnings used relate to employees’ gross remuneration, i.e. the total before any deductions are made by the employer in respect of taxes, contributions of employees to social security and pension schemes, life insurance premiums, union dues and other obligations of employees. As stated in the indicator title, data on earnings should be presented on the basis of the arithmetic average of the hourly earnings of all employees. 
</t>
  </si>
  <si>
    <t>Administrative data</t>
  </si>
  <si>
    <t>Employed Urban Population by Number of Hours worked per week and by sex, 2011-2018</t>
  </si>
  <si>
    <t>hours worked per week</t>
  </si>
  <si>
    <t>Urban Employed Population ( Paramaribo &amp; Wanica)</t>
  </si>
  <si>
    <t>Male</t>
  </si>
  <si>
    <t>Female</t>
  </si>
  <si>
    <t>Total</t>
  </si>
  <si>
    <t>1-9 hours per week</t>
  </si>
  <si>
    <t>10-19  hours per week</t>
  </si>
  <si>
    <t>20-29  hours per week</t>
  </si>
  <si>
    <t>30-39  hours per week</t>
  </si>
  <si>
    <t>40+  hours per week</t>
  </si>
  <si>
    <t xml:space="preserve">Hours Unknown </t>
  </si>
  <si>
    <t>Source: GBS- Continuous Household Surveys</t>
  </si>
  <si>
    <t xml:space="preserve"> Gross Paid Salaries of Civil Servants per month per June 2019 and June 2020</t>
  </si>
  <si>
    <t>Salaries Interval (in SRD)</t>
  </si>
  <si>
    <t>June 2016</t>
  </si>
  <si>
    <t>June 2017</t>
  </si>
  <si>
    <t>June 2018</t>
  </si>
  <si>
    <t>June 2019</t>
  </si>
  <si>
    <t>June 2020</t>
  </si>
  <si>
    <t>Salaries Interval 
(in SRD)</t>
  </si>
  <si>
    <t>June 2021</t>
  </si>
  <si>
    <t>June 2022</t>
  </si>
  <si>
    <t xml:space="preserve"> Number of Civil Servants</t>
  </si>
  <si>
    <t>Salaries in SRD</t>
  </si>
  <si>
    <t>Average in US</t>
  </si>
  <si>
    <t>000 - 480</t>
  </si>
  <si>
    <t>000 - 749</t>
  </si>
  <si>
    <t>481 - 960</t>
  </si>
  <si>
    <t>750 - 1,499</t>
  </si>
  <si>
    <t>961 - 1,440</t>
  </si>
  <si>
    <t>1,500 - 2,249</t>
  </si>
  <si>
    <t>1,441 - 1,920</t>
  </si>
  <si>
    <t>2,250 - 2,999</t>
  </si>
  <si>
    <t>1,921 - 2,400</t>
  </si>
  <si>
    <t>3,000 - 3,749</t>
  </si>
  <si>
    <t>2,401 -  2,880</t>
  </si>
  <si>
    <t>3,750 - 4,499</t>
  </si>
  <si>
    <t>2,881 -  3,360</t>
  </si>
  <si>
    <t>4,500 - 5,249</t>
  </si>
  <si>
    <t>3,361 - 3,840</t>
  </si>
  <si>
    <t>5,250 - 5,999</t>
  </si>
  <si>
    <t>3,841 -  4,320</t>
  </si>
  <si>
    <t>6,000 - 6,749</t>
  </si>
  <si>
    <t>4,321 -  4,800</t>
  </si>
  <si>
    <t>6,750 - 7,499</t>
  </si>
  <si>
    <t>4,801 -  5,280</t>
  </si>
  <si>
    <t>7,500 - 8,249</t>
  </si>
  <si>
    <t>5,281 -  5,760</t>
  </si>
  <si>
    <t>8,250 - 8,999</t>
  </si>
  <si>
    <t>5,761 -  6,240</t>
  </si>
  <si>
    <t>9,000 - 9,749</t>
  </si>
  <si>
    <t>6,241 -  6,720</t>
  </si>
  <si>
    <t>9,750 - 10,499</t>
  </si>
  <si>
    <t>6,721 - 7,200</t>
  </si>
  <si>
    <t>10,500 - 11,249</t>
  </si>
  <si>
    <t>&gt;7,201</t>
  </si>
  <si>
    <t>11,250 - 12,499</t>
  </si>
  <si>
    <t>&gt; 12,500</t>
  </si>
  <si>
    <t>Note: Data from this table only concerns gross paid salaries of Civil Servants employed by the  government</t>
  </si>
  <si>
    <t>Source: Central Bureau for Electronic Administration (Cebuma)</t>
  </si>
  <si>
    <t>Retrieved from:</t>
  </si>
  <si>
    <t>https://statistics-suriname.org/wp-content/uploads/2025/01/Statistisch-Jaarboek-Statistical-Yearbook-2020-2021-2022-dec-2023-corr-jan-2025.pdf</t>
  </si>
  <si>
    <t>Table 7.2, Page 79</t>
  </si>
  <si>
    <t>Average exchange rate SRD to US$</t>
  </si>
  <si>
    <t>Salaries in US</t>
  </si>
  <si>
    <t xml:space="preserve"> Compensation of Employees, 2015 - 2019</t>
  </si>
  <si>
    <t>Main Group ISIC rev 4</t>
  </si>
  <si>
    <t>Agriculture, forestry and fishing</t>
  </si>
  <si>
    <t>Mining and quarrying</t>
  </si>
  <si>
    <t>Manufacturing</t>
  </si>
  <si>
    <t>Electricity, gas, steam and air conditioning supply</t>
  </si>
  <si>
    <t>Water supply; sewerage, waste management and remediation activities</t>
  </si>
  <si>
    <t xml:space="preserve">Construction   </t>
  </si>
  <si>
    <t>Wholesale and retail trade, repair of motor vehicles and motorcycles</t>
  </si>
  <si>
    <t>Transportation &amp; storage</t>
  </si>
  <si>
    <t>Accommodation and food service activities (Hotels and restaurants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</si>
  <si>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</si>
  <si>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</si>
  <si>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</si>
  <si>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</si>
  <si>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</si>
  <si>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</si>
  <si>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</si>
  <si>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and social work activities</t>
  </si>
  <si>
    <t>Other service activities</t>
  </si>
  <si>
    <t>Activities of households as employers; undifferentiated goods- and services-producing activities of households for own use</t>
  </si>
  <si>
    <t>Activities of extraterritorial organizations and bodies</t>
  </si>
  <si>
    <t>Source: GBS- National Accounts</t>
  </si>
  <si>
    <t>Thesis from Tesora ooft using IDB- Living Survey 2016-2017 data</t>
  </si>
  <si>
    <t>Average hourly wage by activity status</t>
  </si>
  <si>
    <t>Activity status</t>
  </si>
  <si>
    <t>Observation</t>
  </si>
  <si>
    <t>Average hour wage (SRD)</t>
  </si>
  <si>
    <t>Average hour wage (USD)</t>
  </si>
  <si>
    <t>Modal Class (SRD)</t>
  </si>
  <si>
    <t>independent entrepreneur</t>
  </si>
  <si>
    <t>15,68</t>
  </si>
  <si>
    <t>0-5</t>
  </si>
  <si>
    <t>Public sector</t>
  </si>
  <si>
    <t>19,26</t>
  </si>
  <si>
    <t>6-10</t>
  </si>
  <si>
    <t>Private sector</t>
  </si>
  <si>
    <t>13,37</t>
  </si>
  <si>
    <t>Source: Authors ( Tesora Ooft) calculation using IDB-data 2016-2017</t>
  </si>
  <si>
    <t>Average hourly wage in SRD per sector</t>
  </si>
  <si>
    <t>Sectors</t>
  </si>
  <si>
    <t>A. Agriculture, Animal Husbandry, Forestry and Fishery</t>
  </si>
  <si>
    <t>1,16</t>
  </si>
  <si>
    <t>B. Mining</t>
  </si>
  <si>
    <t>48,68</t>
  </si>
  <si>
    <t>6,53</t>
  </si>
  <si>
    <t>C. Indystry</t>
  </si>
  <si>
    <t>11,54</t>
  </si>
  <si>
    <t>1,55</t>
  </si>
  <si>
    <t>D. Production and distribution of Electricity and gas</t>
  </si>
  <si>
    <t>17,44</t>
  </si>
  <si>
    <t>2,34</t>
  </si>
  <si>
    <t>E. Extraction, purification and production of water</t>
  </si>
  <si>
    <t>15,62</t>
  </si>
  <si>
    <t>2,10</t>
  </si>
  <si>
    <t>F. Construction</t>
  </si>
  <si>
    <t>11,27</t>
  </si>
  <si>
    <t>1,51</t>
  </si>
  <si>
    <t>G. Trade</t>
  </si>
  <si>
    <t>13,18</t>
  </si>
  <si>
    <t>1,77</t>
  </si>
  <si>
    <t>H. Transport and storage</t>
  </si>
  <si>
    <t>15,06</t>
  </si>
  <si>
    <t>2,02</t>
  </si>
  <si>
    <t>I. Hotels and restaurants</t>
  </si>
  <si>
    <t>13,66</t>
  </si>
  <si>
    <t>1,83</t>
  </si>
  <si>
    <t>J. Information and Communicataion</t>
  </si>
  <si>
    <t>20,51</t>
  </si>
  <si>
    <t>2,75</t>
  </si>
  <si>
    <t>K. Financial and Insurance activities</t>
  </si>
  <si>
    <t>22,74</t>
  </si>
  <si>
    <t>3,05</t>
  </si>
  <si>
    <t>L. Activities with real estate</t>
  </si>
  <si>
    <t>M. Professional scientific and technical activities</t>
  </si>
  <si>
    <t>28,95</t>
  </si>
  <si>
    <t>3,89</t>
  </si>
  <si>
    <t xml:space="preserve">
Unemployed persons are defined as all those of working age (usually aged 15 and above) who were not in employment, carried out activities to seek employment during a specified recent period and were currently available to take up employment given a job opportunity, where: (a) “not in employment” is assessed with respect to the short reference period for the measurement of employment; (b) to “seek employment” refers to any activity when carried out, during a specified recent period comprising the last four weeks or one month, for the purpose of finding a job or setting up a business or agricultural  undertaking; (c) the point when the enterprise starts to exist should be used to distinguish between search activities aimed at setting up a business and the work activity itself, as evidenced by the enterprise’s registration to operate or by when financial resources become available, the necessary infrastructure or materials are in place or the first client or order is received, depending on the context; (d) “currently available” serves as a test of readiness to start a job in the present, assessed with respect to a short reference period comprising that used to measure employment (depending on national circumstances, the reference period may be extended to include a short subsequent period not exceeding two weeks in total, so as to ensure adequate coverage of unemployment situations among different population groups).  
Persons in employment are defined as all those of working age (usually aged 15 and above) who, during a short reference period such as one week or one day, were engaged in any activity to produce goods or provide services for pay or profit. 
The labour force corresponds to the sum of persons in employment and in unemployment.  
For more information on the definitions of employment and unemployment refer to the Resolution concerning statistics of work, employment and labour underutilization Adopted by the 19th International Conference of Labour Statisticians. </t>
  </si>
  <si>
    <t>CENSUS DATA: 2004 &amp; 2012</t>
  </si>
  <si>
    <t>Number of Employed, Unemployed persons and Unemployment rate by age group, 2004 and 2012</t>
  </si>
  <si>
    <t>Number of Employed, Unemployed persons and Unemployment rate by age group and sex, 2012</t>
  </si>
  <si>
    <t>Age group</t>
  </si>
  <si>
    <t>Employed</t>
  </si>
  <si>
    <t>Unemployed</t>
  </si>
  <si>
    <t>Employed And Unemployed</t>
  </si>
  <si>
    <t>Unemployment Rate</t>
  </si>
  <si>
    <t xml:space="preserve">Male </t>
  </si>
  <si>
    <t>15-19</t>
  </si>
  <si>
    <t>20-24</t>
  </si>
  <si>
    <t>25-29</t>
  </si>
  <si>
    <t>30-34</t>
  </si>
  <si>
    <t>35-39</t>
  </si>
  <si>
    <t>40-44</t>
  </si>
  <si>
    <t>45-49</t>
  </si>
  <si>
    <t>50-54</t>
  </si>
  <si>
    <t>55-59</t>
  </si>
  <si>
    <t>60-64</t>
  </si>
  <si>
    <t>Source: GBS- CENSUS 2004 an 2012</t>
  </si>
  <si>
    <t>Census 2012 data</t>
  </si>
  <si>
    <t>De bevolking in het district Paramaribo en Wanica (niet institutioneel en deel speciale groepen, 15-64 jaar) naar activiteitenstatus, 2012</t>
  </si>
  <si>
    <t>ParWan</t>
  </si>
  <si>
    <t>Sex</t>
  </si>
  <si>
    <t>male</t>
  </si>
  <si>
    <t>female</t>
  </si>
  <si>
    <t>Economic Active persons</t>
  </si>
  <si>
    <t>Non-economic Active persons</t>
  </si>
  <si>
    <t>Discouraged worker</t>
  </si>
  <si>
    <t>Pensioner/elderly</t>
  </si>
  <si>
    <t>Student</t>
  </si>
  <si>
    <t>Homemaker</t>
  </si>
  <si>
    <t>Disabled</t>
  </si>
  <si>
    <t>Unknown</t>
  </si>
  <si>
    <t>Totaal</t>
  </si>
  <si>
    <t>Survey data: GBS- Continous Household Survey, 2021</t>
  </si>
  <si>
    <t>Unemployment Rate for the total Urban  population ( Paramaribo &amp; Wanica)</t>
  </si>
  <si>
    <t xml:space="preserve"> Year</t>
  </si>
  <si>
    <t xml:space="preserve"> Unemployed</t>
  </si>
  <si>
    <t>Discouraged workers</t>
  </si>
  <si>
    <t>Unemployment rate, strict definition</t>
  </si>
  <si>
    <t>Unemploymentrate, relaxed definition</t>
  </si>
  <si>
    <t>( a )</t>
  </si>
  <si>
    <t>( b )</t>
  </si>
  <si>
    <t>( c )</t>
  </si>
  <si>
    <t>(b/ (a+b) x100)</t>
  </si>
  <si>
    <t>((b+c)/ (a+b+c) x 100)</t>
  </si>
  <si>
    <t>.</t>
  </si>
  <si>
    <t>Source: GBS-Household Surveys, 2021</t>
  </si>
  <si>
    <t>Table: 8.3.a; Page 88</t>
  </si>
  <si>
    <t>Administrative data: GBS &amp; CEBUMA</t>
  </si>
  <si>
    <t>Ministry</t>
  </si>
  <si>
    <t>Justice &amp; Police</t>
  </si>
  <si>
    <t xml:space="preserve">Home Affairs  </t>
  </si>
  <si>
    <t xml:space="preserve">Regional Development   </t>
  </si>
  <si>
    <t>Defence</t>
  </si>
  <si>
    <t xml:space="preserve">Foreign Affairs </t>
  </si>
  <si>
    <t>Finance</t>
  </si>
  <si>
    <t xml:space="preserve">Trade &amp; Industry </t>
  </si>
  <si>
    <t>Agriculture, Animal Husbandry &amp; Fishery</t>
  </si>
  <si>
    <t xml:space="preserve">Natural Resources </t>
  </si>
  <si>
    <t>Labour</t>
  </si>
  <si>
    <t>Social Affairs and Housing</t>
  </si>
  <si>
    <t xml:space="preserve">Education, Science and Culture </t>
  </si>
  <si>
    <t>Sports &amp; Youth Affairs</t>
  </si>
  <si>
    <t> 581</t>
  </si>
  <si>
    <t>Public Health</t>
  </si>
  <si>
    <t>Public Works</t>
  </si>
  <si>
    <t>Transport, Communication &amp; Tourism</t>
  </si>
  <si>
    <t>Physical Planning, Land and Forest Management</t>
  </si>
  <si>
    <t xml:space="preserve">Source: Central Bureau of Mechanical Administration </t>
  </si>
  <si>
    <t>Table: 8.1.a and 8.1.b; Page 85 and 86</t>
  </si>
  <si>
    <t>Table 8.2: Number of Jobs by Industrial Sector, 2015 – 2020</t>
  </si>
  <si>
    <t>Hoofdgroep/ Main Group ISIC rev 4</t>
  </si>
  <si>
    <t>2020*</t>
  </si>
  <si>
    <t>Totaal / Total</t>
  </si>
  <si>
    <t>Source: GBS- Statistical yearbook, 2020/2021/2022</t>
  </si>
  <si>
    <t>Table: 8.2; Page 87</t>
  </si>
  <si>
    <t>*preliminary figures</t>
  </si>
  <si>
    <t>GBS: CENSUS 2004 and 2012</t>
  </si>
  <si>
    <t>Youth population CENSU</t>
  </si>
  <si>
    <t>YET- Census</t>
  </si>
  <si>
    <t>Youth population Census</t>
  </si>
  <si>
    <t>NEET Ratio -Census</t>
  </si>
  <si>
    <t>Age</t>
  </si>
  <si>
    <t>15-24</t>
  </si>
  <si>
    <t>15-24 years</t>
  </si>
  <si>
    <t>Source: Census data 2004 and 2012</t>
  </si>
  <si>
    <t>GBS: Continious Household Survey data, 2020</t>
  </si>
  <si>
    <t>Economically active</t>
  </si>
  <si>
    <t>Economically inactive</t>
  </si>
  <si>
    <t>Age Group</t>
  </si>
  <si>
    <t>Unemployed(ILO stand. Def.)</t>
  </si>
  <si>
    <t>Subtotal</t>
  </si>
  <si>
    <t>Unfit for work</t>
  </si>
  <si>
    <t>Discouraged Workers</t>
  </si>
  <si>
    <t>Retired</t>
  </si>
  <si>
    <t>Others</t>
  </si>
  <si>
    <t>Status unknown</t>
  </si>
  <si>
    <t>15 - 19</t>
  </si>
  <si>
    <t>-</t>
  </si>
  <si>
    <t>Yemp</t>
  </si>
  <si>
    <t>YET</t>
  </si>
  <si>
    <t>Y</t>
  </si>
  <si>
    <t>Y-Yempl-Yeut/Y*100</t>
  </si>
  <si>
    <t>Employed (15-25 year)</t>
  </si>
  <si>
    <t xml:space="preserve">Student (15-24 year) </t>
  </si>
  <si>
    <t>Youth pop 15-24</t>
  </si>
  <si>
    <t>Source: GBS- Continous household survey, 2020</t>
  </si>
  <si>
    <t>Population Youth Mid- Year estimates</t>
  </si>
  <si>
    <t>Child labour (DWCP pag 12)</t>
  </si>
  <si>
    <t xml:space="preserve"> The Government, together with important partners such as the trade unions, the business community and other organizations, has committed to creating an integrated framework for the prevention and elimination of child labour, including the worst forms of child labour in Suriname. In addition to systematic harmonization of Surinamese labour legislation concerning child labour to the applicable ILO Standards (ILO Convention Nos. 138 and 182), in 2018 the Government re-vamped the inter-ministerial and multi-sectoral National Commission for the Elimination of Child Labour (NCUK) (established in 2008) with the appointment of new members for a duration of three years. This DWCP will seek to build on the results / outputs of the recently concluded ILO Country Level Engagement and Assistance to Reduce Child Labour (CLEAR) Project, which produced updated statistics on Child Labour in selected areas of Suriname25. The 2017 Suriname Child Labour Survey of the coastal districts showed that 2.2 per cent (2,432) of children ages 5-17 years, resident in those areas, were involved in child labour. Of those child labourers 70 per cent (1,701) were involved in hazardous work26. The 2017 United States Department of Labor (USDOL) report on the Worst Forms of Child Labour in Suriname27 still raises serious concern about the risk of the worst forms of child labour in the mining</t>
  </si>
  <si>
    <t>MICS 2018 data</t>
  </si>
  <si>
    <t>The following link has series over different years, providing findings on Child Labor in Suriname:</t>
  </si>
  <si>
    <t>Table PR.3.3: Child labour</t>
  </si>
  <si>
    <t>https://www.dol.gov/sites/dolgov/files/ILAB/child_labor_reports/tda2023/Suriname.pdf</t>
  </si>
  <si>
    <t>Percentage of children age 5-17 years by involvement in economic activities or household chores during the last week, percentage working under hazardous conditions during the last week, and percentage engaged in child labour during the last week, Suriname MICS, 2018</t>
  </si>
  <si>
    <t>Children involved in economic activities for a total number of hours during last week:</t>
  </si>
  <si>
    <t>Children involved in household chores for a total number of hours during last week:</t>
  </si>
  <si>
    <t>Children working under hazardous conditions</t>
  </si>
  <si>
    <r>
      <t>Total child labour</t>
    </r>
    <r>
      <rPr>
        <vertAlign val="superscript"/>
        <sz val="8"/>
        <rFont val="Arial"/>
        <family val="2"/>
      </rPr>
      <t>1</t>
    </r>
  </si>
  <si>
    <t>Number of children age 5-17 years</t>
  </si>
  <si>
    <t>Suriname made moderate progress in eliminating forms of child labor in 2023. The government and the International Labor Organization signed the Third Decent Country Work Program, which aims to prevent and eliminate child labor. The Labor Ministry also formed a  commission analyzed the 2010 Decree on Hazardous Work for Youth and issued recommendations for updating it. Despite this actions, the obligatory schooling age is below the minimal employment age, leaving some youngsters exposed to labor exploitation. While Suriname's laws penalize sexual actions with minors under 16, they do not prohibit commercial sex with them. Furthermore, the government failed to record the number of child labor inspections in 2023.
Child labor in different sectors include: harvesting crops including using hazardous machinery, hauling big loads, and spraying pesticides in Agriculture and (Gold) mining involves hefty weights and toxic exposure. Furthermore, they take part in  street work, including vending, domestic work, and 
airport luggage transportation. The worst forms of child labor include commercial sexual exploitation, human trafficking, and unlawful enterprises such as drug sales.</t>
  </si>
  <si>
    <t>Below the  age specific threshold</t>
  </si>
  <si>
    <t>At or above the age specific threshold</t>
  </si>
  <si>
    <t>Below the age specific threshold</t>
  </si>
  <si>
    <t>Area</t>
  </si>
  <si>
    <t>Urban</t>
  </si>
  <si>
    <t>Rural Coastal</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</si>
  <si>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</si>
  <si>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</si>
  <si>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</si>
  <si>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</si>
  <si>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</si>
  <si>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</si>
  <si>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</si>
  <si>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</si>
  <si>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</si>
  <si>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</si>
  <si>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</si>
  <si>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</si>
  <si>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5-11</t>
  </si>
  <si>
    <t>12-14</t>
  </si>
  <si>
    <t>15-17</t>
  </si>
  <si>
    <t>School attendance</t>
  </si>
  <si>
    <t>Attending</t>
  </si>
  <si>
    <t>Not attending</t>
  </si>
  <si>
    <t>Missing</t>
  </si>
  <si>
    <r>
      <rPr>
        <b/>
        <vertAlign val="superscript"/>
        <sz val="8"/>
        <rFont val="Arial"/>
        <family val="2"/>
      </rPr>
      <t xml:space="preserve">1 </t>
    </r>
    <r>
      <rPr>
        <b/>
        <sz val="8"/>
        <rFont val="Arial"/>
        <family val="2"/>
      </rPr>
      <t>MICS indicator PR.3 - Child labour; SDG indicator 8.7.1</t>
    </r>
  </si>
  <si>
    <r>
      <rPr>
        <vertAlign val="superscript"/>
        <sz val="8"/>
        <rFont val="Arial"/>
        <family val="2"/>
      </rPr>
      <t xml:space="preserve">A </t>
    </r>
    <r>
      <rPr>
        <sz val="8"/>
        <rFont val="Arial"/>
        <family val="2"/>
      </rPr>
      <t>Children age 15 or higher identified as emancipated</t>
    </r>
  </si>
  <si>
    <t>The child labour module is administered in the Questionnaire for Children Age 5-17. In households with at least one child age 5-17, one child is randomly selected. To account for the random selection, the household sample weight is multiplied by the total number of children age 5-17 in each household; this weight is used when producing this table.
The numerator to estimate the percentage of children age 5-17 years in child labour includes children 5-17 years of age that were involved during the week preceding the survey in economic activities or household chores above the age specific tresholds (see Tables PR.3.1 and 3.2), or were working under hazardous conditions (Response "1" to any of the following: CL4, CL5, CL6A, CL6B, CL6C, CL6D, CL6E, CL6X).
The background variable of School attendance must be taken out of the child labour tables (PR.3.1, 3.2 and 3.3) if a significant proportion of the fieldwork was conducted during the break between school years, as otherwise the results would be biased.
MICS standard questionnaires are designed to establish mother's/caretaker's education for all children (see List of Household Members, Household Questionaire). The category "No information" includes children who were age 15 or higher at the time of the interview who were identified as emancipated. For such cases, information on their primary caretakers is not collected - therefore the educational status of the mother or the caretaker cannot be determined.
Note that the definition of child labour, hence the MICS indicator PR.3 presented in this report, also includes working in activities that are hazardous in nature. However, to ensure comparability of estimates, it has been decided by UNICEF and ILO to exclude engagement in hazardous occupations or under hazardous working conditions from the estimates of child labour for the purpose of reporting on SDG 8.7.1 in 2018. Another reason for exclusion of hazardous conditions in the reporting is the further methodological work needed to validate questions aimed at identifying children engaged in hazardous activities.</t>
  </si>
  <si>
    <t>Survey data: Suriname Child Labour Survey(SCLS), 2017</t>
  </si>
  <si>
    <t>Occupational safety and health (OSH) Suriname</t>
  </si>
  <si>
    <t>Administrative data: min OWC</t>
  </si>
  <si>
    <t>Not serious</t>
  </si>
  <si>
    <t>Nearly serious</t>
  </si>
  <si>
    <t>Non fatal</t>
  </si>
  <si>
    <t>incidence per 100.000 persons</t>
  </si>
  <si>
    <t>Very Serious</t>
  </si>
  <si>
    <t>Deadly</t>
  </si>
  <si>
    <t>Unkn</t>
  </si>
  <si>
    <t>Fatal</t>
  </si>
  <si>
    <t>Total Accidents</t>
  </si>
  <si>
    <t>Employed population *</t>
  </si>
  <si>
    <t>Lost man days</t>
  </si>
  <si>
    <t>N/A</t>
  </si>
  <si>
    <t>Source: Min of  Labour, Employment and Youth Affairs</t>
  </si>
  <si>
    <t>*=Here we work with Census Employed population. It is not pure I have always worked with a percentage of 1.34 (population growth percentage).</t>
  </si>
  <si>
    <t>Accidents Classified by ISUC Main Group and Seriousness of Accident, per 100.000 persons, 2008-2021,</t>
  </si>
  <si>
    <t>Accidents</t>
  </si>
  <si>
    <t>Main group</t>
  </si>
  <si>
    <t>Non-fatal</t>
  </si>
  <si>
    <t>non fatal</t>
  </si>
  <si>
    <t>A. Agriculture, forestry and fishing</t>
  </si>
  <si>
    <t>fatal</t>
  </si>
  <si>
    <t>B. Mining and quarrying (extraction)</t>
  </si>
  <si>
    <t>C. Manufacturing (inclusive milling and refining)</t>
  </si>
  <si>
    <t>D. Electricity, gas, steam and air conditioning supply</t>
  </si>
  <si>
    <t>Adm data; Minb OWC- Medical Office -Labor Inspectorate</t>
  </si>
  <si>
    <t>E. Water supply; sewerage, waste management and remediation activities</t>
  </si>
  <si>
    <t xml:space="preserve">The number of occupational accidents by the affected body part over the year 2017-2019		</t>
  </si>
  <si>
    <t>G. Wholesale and retail trade; repair of motor vehicles and motorcycles</t>
  </si>
  <si>
    <t>Body Part</t>
  </si>
  <si>
    <t>Head</t>
  </si>
  <si>
    <t>I. Accommodation and food service activities</t>
  </si>
  <si>
    <t>Neck</t>
  </si>
  <si>
    <t>J. Information and communication</t>
  </si>
  <si>
    <t>Hull</t>
  </si>
  <si>
    <t>K. Financial and insurance activities</t>
  </si>
  <si>
    <t>Upper Limbs</t>
  </si>
  <si>
    <t>L. Real estate activities</t>
  </si>
  <si>
    <t>Lower Limbs</t>
  </si>
  <si>
    <t>M. Professional, scientific and technical activities</t>
  </si>
  <si>
    <t>*Multipele locaties</t>
  </si>
  <si>
    <t>N. Administrative and support service activities</t>
  </si>
  <si>
    <t>general locations</t>
  </si>
  <si>
    <t>O. Public administration and defense; compulsory social security</t>
  </si>
  <si>
    <t>not specified</t>
  </si>
  <si>
    <t>P. Education</t>
  </si>
  <si>
    <t>unknown</t>
  </si>
  <si>
    <t>Q. Human health and social work activities</t>
  </si>
  <si>
    <t>total</t>
  </si>
  <si>
    <t>R. Arts, entertainment and recreation</t>
  </si>
  <si>
    <t>S. Other service activities</t>
  </si>
  <si>
    <t>T. Activities of households as employers; undifferentiated goods- and services-producing activities of households for own use</t>
  </si>
  <si>
    <t>The number of occupational accidents by cause of the accident year 2017-2019</t>
  </si>
  <si>
    <t>U. Activities of extraterritorial organizations and bodies</t>
  </si>
  <si>
    <t>Cause</t>
  </si>
  <si>
    <t>Machines</t>
  </si>
  <si>
    <t>Transport equipment and lifting equipment</t>
  </si>
  <si>
    <t>Other tools</t>
  </si>
  <si>
    <t>Table: 8.4b1 and  8.4b2; Page 91, 92</t>
  </si>
  <si>
    <t>Materials, Substances and Radiations</t>
  </si>
  <si>
    <t>Environment</t>
  </si>
  <si>
    <t>Other cases, not elsewhere classified</t>
  </si>
  <si>
    <t>In 2017, 780 industrial accidents were registered with the Medical Office of the Labor Inspectorate. Striking are the industrial accidents in the "Agriculture, Livestock, Bouwbouw Envisserij" sector. Of the 780 industrial accidents, 285 (36.5 %) belong to this sector followed by the sector "Processing/producing/manufacturing" (19.2 %). In view of the seriousness of the accident, Table 7.1 shows that 637 (81.7%) of the industrial accidents were not serious while 47 industrial accidents were very serious. The Medical Bureau also had to record that 7 people died in an industrial accident, most of which were working in the sector "Agriculture, animal husbandry, forestry and fishing"</t>
  </si>
  <si>
    <t>MIN OWC- Acts mentioned in the DWCP</t>
  </si>
  <si>
    <t>Acts mention in the DWCP</t>
  </si>
  <si>
    <t>Period</t>
  </si>
  <si>
    <t>Status May 2019</t>
  </si>
  <si>
    <t>The Maternity Protection Act,revised during the previous DWCP</t>
  </si>
  <si>
    <t xml:space="preserve">As of May 2019, Suriname has 19 comments of the ILO Committee of Experts on the Application of Conventions 
and Recommendations pending on the application of ratified Conventions. Five are Observations, and the 
Government’s specific action is requested with respect to the following four Observations: </t>
  </si>
  <si>
    <t xml:space="preserve"> the Law on violence (including sexual harassment) in the workplacerevised during the previous DWCP</t>
  </si>
  <si>
    <t xml:space="preserve">1. Labour Clauses (Public Contracts) Convention, 1949 (No. 94).Amend the law and regulations so that it would be required to insert in public contracts, 
labour clauses in accordance with Article 2 of the Convention, that is, clauses which ensure 
that workers employed under public contracts shall enjoy the same conditions as other 
workers whose conditions of employment are fixed not only by national legislation but also by collective agreements or arbitration awards.
</t>
  </si>
  <si>
    <t xml:space="preserve"> the Act on equal treatment in the workplace were among the labour laws revised during the previous DWCP</t>
  </si>
  <si>
    <t>2. Equality of Treatment (Social Security) Convention, 1962 (No. 118)
•  Change the law and practice concerning the payment of benefits to workers living abroad by, for instance, concluding agreements with countries in Latin American and the Caribbean, who equally ratified Convention No. 118 and accepted its Part (g) (e.g. Brazil, Ecuador, Mexico, Uruguay or the Bolivarian Republic of Venezuela), with a view to facilitating the payment of benefits to these countries</t>
  </si>
  <si>
    <t>In January 2017 the ILO Equal Remuneration Convention, 1951 (No. 100) and Discrimination (Employment and Occupation) Convention, 1958 (No. 111) were ratified.</t>
  </si>
  <si>
    <t xml:space="preserve">3. Workmen’s Compensation (Accidents) Convention, 1925 (No. 17) (Ratification: 1976); and </t>
  </si>
  <si>
    <t>The Minimum Age Convention, 1973 (No. 138), was ratified in January 2018. T</t>
  </si>
  <si>
    <t>4. Workmen’s Compensation (Occupational Diseases) Convention (Revised), 1934 (No. 42) 
(Ratification: 1976)
•  Ensure that the “loading and unloading or transport of merchandise” is included among the 
activities likely to cause anthrax infection in the list of occupational diseases established by 
section 25 of the Industrial Accidents Act.
•  Ensure that the legislation includes provisions on additional compensation, in cases where 
an accident incapacitates a worker in a way that he or she needs the constant help of another 
person.
•  Consider ratification of up-to-date Conventions concerning the matters covered by these 
Conventions, namely: the Employment Injury Benefits Convention, 1964 [Schedule I 
amended in 1980] (No. 121), and/or the Social Security (Minimum Standards) Convention, 
1952 (No. 102) with the acceptance of the obligations in its Part VI.
On the issue of possible ratifications, “Labour Law Reform Suriname (1)” a publication of the MOL, refers to 
the possible ratifications of:17
•  Maternity Protection Convention, 2000 (No. 183);
•  Migrant Workers (Supplementary Provisions) Convention, 1975 (No. 143);
•  Social Security (Minimum Standards) Convention, 1952 (No. 102); and
•  Domestic Workers Convention, 2011 (No. 189)</t>
  </si>
  <si>
    <t>he ratification of the ILO Protocol of 2014 to the Forced Labour Convention, 1930 (No. 29) was also approved and the ratification formalities are underway.</t>
  </si>
  <si>
    <t xml:space="preserve">With the new and revised labour laws, the legislative framework has been modernized. For adherence to 
labour laws, the empowerment and resourcing of governmental agencies to create awareness and enforce 
the compliance to these laws is of utmost importance. It is crucial that employers and workers are made 
aware of the new laws and their duties and rights under them. Succeeding in the second DWCP and building 
on the synergy created during implementation of the previous programme requires the equipping and 
mandating of labour inspection services. The urgency of this area of focus has been acknowledged through 
the Ministry’s appointment of a transformation and management team within labour inspection services in 
July 2018. The goal is to have, by 2020, a modernized, well-staffed, motivated and driven team with ample 
resources: trained inspectors, mobility and Information Communication Technology (ICT) support to cover 
all areas within Suriname. </t>
  </si>
  <si>
    <t>This brings the total of ILO Conventions ratified by Suriname to 33all Eight Fundamental ILO Conventions are ratified. These newly ratified Conventions now have to be implemented.</t>
  </si>
  <si>
    <t>SourceL DWCP</t>
  </si>
  <si>
    <t>Piroe, Glenn. “Labour Law Reform Suriname (1) (Modernisering Arbeidswetgeving Suriname (1))”. 2018.</t>
  </si>
  <si>
    <t>https://www.dna.sr/wetgeving/surinaamse-wetten/wetten-na-2005/wet-omzetting-arbeidsovereenkomst-voor-bepaalde-tijd-naar-arbeidsovereenkomst-onbepaalde-tijd/</t>
  </si>
  <si>
    <t>. Mensen met een beperking (mmeb) in Suriname</t>
  </si>
  <si>
    <t xml:space="preserve"> 
Het begrip ‘mensen met een beperking’ is nog niet gedefinieerd in de nationale 
wetgeving van Suriname. De Ministeries van SoZaVo en Arbeid gebruiken de definitie 
van de Verenigde Naties (VN) voor wettelijke en praktische doeleinden. De 
omschrijving van het begrip mmeb is als volgt: “Mensen met een beperking omvat 
personen met langdurige fysieke, mentale, intellectuele of zintuigelijke beperkingen die 
hen in wisselwerking met diverse drempels kunnen beletten volledig, effectief en op 
voet van gelijkheid met anderen te participeren in de samenleving” (Verenigde Naties, 
2006: 4).
ILO en OECD (2018: 2) geven aan dat ongeveer 15.0 procent van de wereldbevolking 
een beperking heeft. De Wereld Bank (2004: 1) rapporteerde dat in Latijns America en 
het Caraibisch gebied naar schatting tussen 80.0 tot 90.0 procent van de 
arbeidspotentiele bevolking (beroepsbevolking) met een beperking werkloos zijn of 
economisch niet-actief zijn (buiten de arbeidsmarkt). </t>
  </si>
  <si>
    <t>Gross Value Added at basic prices (1000SRD) by kind of Economic Activity at Current Prices 2015-2020  and GDP market prices (1000SRD) at Current Prices 2015-2024</t>
  </si>
  <si>
    <t>Sector (Rev. 4)</t>
  </si>
  <si>
    <t>2018*</t>
  </si>
  <si>
    <t>2019*</t>
  </si>
  <si>
    <t>Accommodation and food service activities (Hotels and restaurants)</t>
  </si>
  <si>
    <t>Living and comm.services</t>
  </si>
  <si>
    <t xml:space="preserve"> Professional, scientific and technical activities</t>
  </si>
  <si>
    <t xml:space="preserve"> Public administration and defense; compulsory social security</t>
  </si>
  <si>
    <t xml:space="preserve"> Education</t>
  </si>
  <si>
    <t xml:space="preserve"> Human health and social work activities</t>
  </si>
  <si>
    <t>Art, Entertainment and Recreation</t>
  </si>
  <si>
    <t xml:space="preserve">Unknown </t>
  </si>
  <si>
    <t>GDP basic prices</t>
  </si>
  <si>
    <t>Tax minus subsidy</t>
  </si>
  <si>
    <t>GDP market prices</t>
  </si>
  <si>
    <t>Source: GBS- National Accounts, 2021</t>
  </si>
  <si>
    <t>GDP market prices  (x 1000 SRD)</t>
  </si>
  <si>
    <t>% Accommodatie &amp; voedings diensten en gerelateerde zakento GDP</t>
  </si>
  <si>
    <t>The number of commercial bank branches per 100,000 adults 
The number of automated teller machines (ATMs) per 100,000 adults .</t>
  </si>
  <si>
    <t>Number of commercial bank branches and ATMs per 100,000 adults, 2017</t>
  </si>
  <si>
    <t>Commercial Banks</t>
  </si>
  <si>
    <t># HQ</t>
  </si>
  <si>
    <t xml:space="preserve"># </t>
  </si>
  <si>
    <t>District</t>
  </si>
  <si>
    <t>DSB BANK</t>
  </si>
  <si>
    <t>Headoffice</t>
  </si>
  <si>
    <t>#</t>
  </si>
  <si>
    <t>Email adres</t>
  </si>
  <si>
    <t>Hankrinkbank</t>
  </si>
  <si>
    <t>Paramaribo</t>
  </si>
  <si>
    <t>District Commewijne</t>
  </si>
  <si>
    <t>FILIALEN</t>
  </si>
  <si>
    <t>Branch</t>
  </si>
  <si>
    <t>HQ+Branch</t>
  </si>
  <si>
    <t>ATM’s</t>
  </si>
  <si>
    <t>00-04</t>
  </si>
  <si>
    <t>Tourtonne</t>
  </si>
  <si>
    <t>DSB Hoofdkantoor</t>
  </si>
  <si>
    <t>Henck Arronstraat 26-30</t>
  </si>
  <si>
    <t>Volgnr</t>
  </si>
  <si>
    <t>Lokatie</t>
  </si>
  <si>
    <t>Adres</t>
  </si>
  <si>
    <t>ATM naam</t>
  </si>
  <si>
    <t>Head Office - Paramaribo</t>
  </si>
  <si>
    <t>ATM Location</t>
  </si>
  <si>
    <t>Address</t>
  </si>
  <si>
    <t>Hoofdkantoor:</t>
  </si>
  <si>
    <t>Leysweg Mall</t>
  </si>
  <si>
    <t>https://hakrinbank.com</t>
  </si>
  <si>
    <t>05-09</t>
  </si>
  <si>
    <t>Nieuwe Haven</t>
  </si>
  <si>
    <t>DSB Kwatta</t>
  </si>
  <si>
    <t>Kwattaweg 226</t>
  </si>
  <si>
    <t>Filiaal Tamanredjo</t>
  </si>
  <si>
    <t>Hadji Iding Soemitaweg km 19</t>
  </si>
  <si>
    <t>ATM TAMANREDJO</t>
  </si>
  <si>
    <t>Kerkplein 1, P.O. Box 1836, Paramaribo </t>
  </si>
  <si>
    <t>'t Lekkerbekje</t>
  </si>
  <si>
    <t>Van Sommelsdijckstraat 1</t>
  </si>
  <si>
    <t>Finabank Centrum</t>
  </si>
  <si>
    <t>Finabank Hoofdkantoor</t>
  </si>
  <si>
    <t>Openingstijden:</t>
  </si>
  <si>
    <t>Leysweg no. 220</t>
  </si>
  <si>
    <t>De Surinaamsche Bank (DSB)</t>
  </si>
  <si>
    <t>www.dsb.sr</t>
  </si>
  <si>
    <t>10-14</t>
  </si>
  <si>
    <t>Latour</t>
  </si>
  <si>
    <t>DSB Kasabaholo</t>
  </si>
  <si>
    <t>Kasabaholoweg 29</t>
  </si>
  <si>
    <t>Bridge Mall</t>
  </si>
  <si>
    <t>Meerzorgweg 284</t>
  </si>
  <si>
    <t>ATM Meerzorg</t>
  </si>
  <si>
    <t>Dr. Sophie Redmondstraat 59 – 61</t>
  </si>
  <si>
    <r>
      <t>Kassa:</t>
    </r>
    <r>
      <rPr>
        <sz val="11"/>
        <rFont val="Times New Roman"/>
        <family val="1"/>
      </rPr>
      <t> maandag t/m vrijdag van 08.00 uur - 15.30 uur</t>
    </r>
  </si>
  <si>
    <t>De Godo ATM-machines zijn gevestigd : </t>
  </si>
  <si>
    <t>Tsang Store</t>
  </si>
  <si>
    <t>Republic Bank Suriname</t>
  </si>
  <si>
    <t>https://republicbanksr.com</t>
  </si>
  <si>
    <t>Flora</t>
  </si>
  <si>
    <t>DSB Hermitage</t>
  </si>
  <si>
    <t>Estrelliastraat</t>
  </si>
  <si>
    <t>Nieuw Amsterdam</t>
  </si>
  <si>
    <t>Commisaris Roblesweg 104</t>
  </si>
  <si>
    <t>ATM NW AMSTERDAM</t>
  </si>
  <si>
    <t>82 Trading</t>
  </si>
  <si>
    <t>Gomperstraat 82</t>
  </si>
  <si>
    <t>Paramaribo </t>
  </si>
  <si>
    <t>en Zaterdag van 09.00uur - 12.30 uur</t>
  </si>
  <si>
    <t>- Godo Hoofdkantoor Keizerstraat 139-143</t>
  </si>
  <si>
    <t>David Simonstraat no. 123</t>
  </si>
  <si>
    <t>www.finabanknv.com</t>
  </si>
  <si>
    <t xml:space="preserve">Nickerie </t>
  </si>
  <si>
    <t>Nickerie</t>
  </si>
  <si>
    <t>DSB Nieuwe Haven</t>
  </si>
  <si>
    <t>Van 't Hogerhuystraat</t>
  </si>
  <si>
    <t>Telefoon: +597 472266</t>
  </si>
  <si>
    <r>
      <t>Kantoor:</t>
    </r>
    <r>
      <rPr>
        <sz val="11"/>
        <rFont val="Times New Roman"/>
        <family val="1"/>
      </rPr>
      <t> maandag t/m vrijdag van 08.00 uur - 16.00 uur</t>
    </r>
  </si>
  <si>
    <t>- Godo Filiaal Albina hk Weyne weg en Struikenweg 23</t>
  </si>
  <si>
    <t>Flexmall</t>
  </si>
  <si>
    <t>Surinaamse Postspaarbank (SPSB)</t>
  </si>
  <si>
    <t>https://spsbbank.sr/</t>
  </si>
  <si>
    <t>Tamaredjo</t>
  </si>
  <si>
    <t>Commewijne</t>
  </si>
  <si>
    <t>Hotel Krasnapolsky</t>
  </si>
  <si>
    <t>Domineestraat 39</t>
  </si>
  <si>
    <t>Ali's Drugstore</t>
  </si>
  <si>
    <t>Tourtonnelaan 127</t>
  </si>
  <si>
    <t>Fax: +597 422672</t>
  </si>
  <si>
    <t>Finabank Hoofdkantoor (Lobby)</t>
  </si>
  <si>
    <t>en Zaterdag van 09.00uur - 13.00 uur</t>
  </si>
  <si>
    <t>Hoek Suriname / Commewijnestraat</t>
  </si>
  <si>
    <t>Godo</t>
  </si>
  <si>
    <t>www.godo.sr</t>
  </si>
  <si>
    <t>Wanica</t>
  </si>
  <si>
    <t>Sol On the Run</t>
  </si>
  <si>
    <t>Wilhelminastraat</t>
  </si>
  <si>
    <t>District Nickerie</t>
  </si>
  <si>
    <t>Gouverneurstraat 79, Nieuw Nickerie </t>
  </si>
  <si>
    <t>E-mail: customercare@finabanknv.com</t>
  </si>
  <si>
    <t>Keizerstraatno. 139 -143</t>
  </si>
  <si>
    <t>Magenta (nabij Saeri)</t>
  </si>
  <si>
    <t>De Volkscredietbank</t>
  </si>
  <si>
    <t>www.vcbbank.sr</t>
  </si>
  <si>
    <t>Sol Lo Tam Loi</t>
  </si>
  <si>
    <t>Dr. Sophie Redmonstraat</t>
  </si>
  <si>
    <t>Cheryl's Supermarkt</t>
  </si>
  <si>
    <t>Sir Winston Churchillweg 831A</t>
  </si>
  <si>
    <t>P.O.B. 2674</t>
  </si>
  <si>
    <t>Magentakanaalweg</t>
  </si>
  <si>
    <t>Surichange bank</t>
  </si>
  <si>
    <t>http://www.scbbank.sr</t>
  </si>
  <si>
    <t>St. Vincentius Ziekenhuis</t>
  </si>
  <si>
    <t>Koninginnestraat</t>
  </si>
  <si>
    <t>Filiaal Nickerie</t>
  </si>
  <si>
    <t>Maynardstraat 49</t>
  </si>
  <si>
    <t>ATM FIL NICK.  </t>
  </si>
  <si>
    <t>Domburg</t>
  </si>
  <si>
    <t>Openingstijden: maandag – vrijdag: 07.00 uur – 15.00 uur</t>
  </si>
  <si>
    <t>Paramaribo - Suriname</t>
  </si>
  <si>
    <t>Gasroo</t>
  </si>
  <si>
    <t>De Southern Commercial Bank N.V</t>
  </si>
  <si>
    <t>http://www.southcommbanknv.com</t>
  </si>
  <si>
    <t xml:space="preserve"> </t>
  </si>
  <si>
    <t>Ministerie van Regionale Ontwikkeling</t>
  </si>
  <si>
    <t>Grote Combeweg</t>
  </si>
  <si>
    <t>Winkel Mahes</t>
  </si>
  <si>
    <t>Hoofdweg 182 </t>
  </si>
  <si>
    <t>ATM WAGENINGEN</t>
  </si>
  <si>
    <t>Fatum Building</t>
  </si>
  <si>
    <t>Kwattaweg 405 </t>
  </si>
  <si>
    <t>zaterdag: 09.00 uur – 12.00 uur</t>
  </si>
  <si>
    <t>Finabank Nickerie</t>
  </si>
  <si>
    <t>Telefoon : (+597) 421546</t>
  </si>
  <si>
    <t>Ds. Martin Luther Kingweg no. 176</t>
  </si>
  <si>
    <t>Total Number of Commercial Banks and branches</t>
  </si>
  <si>
    <t>Tulip Supermarkt</t>
  </si>
  <si>
    <t>Tourtonnelaan 131</t>
  </si>
  <si>
    <t>B &amp; B Trading</t>
  </si>
  <si>
    <t>Corantijnpolder Serie A no 13</t>
  </si>
  <si>
    <t>ATM CORANTIJNPLD</t>
  </si>
  <si>
    <t>A.K.Doerga Sawhstraat 72</t>
  </si>
  <si>
    <t>Fax : (+597) 411609</t>
  </si>
  <si>
    <t>Adult pop 15+ ( 2017)- Mid -year estimates</t>
  </si>
  <si>
    <t>Kwatta</t>
  </si>
  <si>
    <t>Waterkant</t>
  </si>
  <si>
    <t>Zhong Zhong Supermarkt</t>
  </si>
  <si>
    <t>Paradise no 15B</t>
  </si>
  <si>
    <t>ATM PARADISE </t>
  </si>
  <si>
    <t>Van't Hogerhuysstraat 3, Paramaribo </t>
  </si>
  <si>
    <t>Gemenelandsweg</t>
  </si>
  <si>
    <t>Verlengde Gemenelandsweg 137</t>
  </si>
  <si>
    <t>Nickerie </t>
  </si>
  <si>
    <t>E-mail adres : info@godo.sr</t>
  </si>
  <si>
    <t>Tourtonnelaan #2</t>
  </si>
  <si>
    <t>Ratio</t>
  </si>
  <si>
    <t>Kasabaholo</t>
  </si>
  <si>
    <t>Padvindsters Gilde</t>
  </si>
  <si>
    <t>Kernkampweg (naast KKF)</t>
  </si>
  <si>
    <t>Finabank Zuid </t>
  </si>
  <si>
    <t>  </t>
  </si>
  <si>
    <t>ATM Nw. Nickerie</t>
  </si>
  <si>
    <t>Source: Websites of the Banks</t>
  </si>
  <si>
    <t>65-69</t>
  </si>
  <si>
    <t>Maretraite</t>
  </si>
  <si>
    <t>Choi Zuid</t>
  </si>
  <si>
    <t>Johaness Mungrastraat 17</t>
  </si>
  <si>
    <t>District Paramaribo</t>
  </si>
  <si>
    <t>Republic Bank Nickerie</t>
  </si>
  <si>
    <t>Gouverneurstraat 79</t>
  </si>
  <si>
    <t>Mr. Jagernath Lachmonstraat 49</t>
  </si>
  <si>
    <t>Supermarkt Su Dong</t>
  </si>
  <si>
    <t>Filialen:</t>
  </si>
  <si>
    <t>Soekramsingh str 49</t>
  </si>
  <si>
    <t>70-74</t>
  </si>
  <si>
    <t>Hermitage Mall</t>
  </si>
  <si>
    <t>Gow2 Gemenelandsweg</t>
  </si>
  <si>
    <t>Gemenelandsweg 115-117</t>
  </si>
  <si>
    <t>Foreign Currency ATM</t>
  </si>
  <si>
    <t>Nieuw Nickerie</t>
  </si>
  <si>
    <t>Powisiestraat</t>
  </si>
  <si>
    <t>ATM Wageningen</t>
  </si>
  <si>
    <t>75-79</t>
  </si>
  <si>
    <t>Nieuwe haven</t>
  </si>
  <si>
    <t>Telesur Vailliantsplein</t>
  </si>
  <si>
    <t>Vailliantsplein</t>
  </si>
  <si>
    <t>Hoofdkantoor</t>
  </si>
  <si>
    <t>Dr. Sophie Redmondstraat 11-13</t>
  </si>
  <si>
    <t>HAKRIN MAIN OFFICE 1</t>
  </si>
  <si>
    <t>Hollandia Bakery</t>
  </si>
  <si>
    <t>Wilhelminastraat 77</t>
  </si>
  <si>
    <t>Telefoon: +597 430300</t>
  </si>
  <si>
    <t>Lelydorp</t>
  </si>
  <si>
    <t>Rexoralaan no.1</t>
  </si>
  <si>
    <t>Bank</t>
  </si>
  <si>
    <t>Count</t>
  </si>
  <si>
    <t>80+</t>
  </si>
  <si>
    <t>Moengo</t>
  </si>
  <si>
    <t>Marowijne</t>
  </si>
  <si>
    <t>V-Oil Production and marketing</t>
  </si>
  <si>
    <t>Hendrikstraat 103</t>
  </si>
  <si>
    <t>HAKRIN MAIN OFFICE 2</t>
  </si>
  <si>
    <t>Hoek Mr. J. Lachmonstraat/Nickeriestraat 1 </t>
  </si>
  <si>
    <t>Fax: +597 430310</t>
  </si>
  <si>
    <t>Hakrinbank N.V.</t>
  </si>
  <si>
    <t>15&gt;</t>
  </si>
  <si>
    <t>Sol Welgelegen</t>
  </si>
  <si>
    <t>Kwattaweg 465</t>
  </si>
  <si>
    <t>Hoofdkantoor (bankhal)</t>
  </si>
  <si>
    <t>MAINBRANCH 3</t>
  </si>
  <si>
    <t>Kasimex Makro</t>
  </si>
  <si>
    <t>Johannes Mungrastraat 2</t>
  </si>
  <si>
    <t>Johan Adolf Pengel Luchthaven</t>
  </si>
  <si>
    <r>
      <t>Kassa:</t>
    </r>
    <r>
      <rPr>
        <sz val="11"/>
        <rFont val="Times New Roman"/>
        <family val="1"/>
      </rPr>
      <t> maandag t/m vrijdag van 08.00 uur tot en met 15.00 uur en elke laatste zaterdag van de maand van 09.00 uur - 12.30 uur</t>
    </r>
  </si>
  <si>
    <t>Headquarters</t>
  </si>
  <si>
    <t>Paramaribo Zuid</t>
  </si>
  <si>
    <t>Academisch Ziekenhuis</t>
  </si>
  <si>
    <t>Abraham Samsonstraat</t>
  </si>
  <si>
    <t>ATM AZP</t>
  </si>
  <si>
    <t>Vertrekhal</t>
  </si>
  <si>
    <r>
      <t>Kantoor:</t>
    </r>
    <r>
      <rPr>
        <sz val="11"/>
        <rFont val="Times New Roman"/>
        <family val="1"/>
      </rPr>
      <t> maandag t/m vrijdag van 08.00 uur tot en met 15.00 uur en elke laatste zaterdag van de maand van 09.00 uur - 13.00 uur</t>
    </r>
  </si>
  <si>
    <t>Branches:</t>
  </si>
  <si>
    <t>Nieuwe Haven
Havencomplex</t>
  </si>
  <si>
    <t>Sol Flora</t>
  </si>
  <si>
    <t>Mr. J. Lachmonstraat 165</t>
  </si>
  <si>
    <t>MN International</t>
  </si>
  <si>
    <t>Kwattaweg no 319</t>
  </si>
  <si>
    <t>ATM MN INT.</t>
  </si>
  <si>
    <t>Krasnapolsky Hotel</t>
  </si>
  <si>
    <t>Steenbakkerijstraat 39</t>
  </si>
  <si>
    <t>Openingstijden: maandag – vrijdag: 07.00 uur – 20.00 uur</t>
  </si>
  <si>
    <t>Hoek Indira Gandhiweg/ De Craneweg 2</t>
  </si>
  <si>
    <t>Flora, Mr. Jagernath Lachmonstraat 164</t>
  </si>
  <si>
    <t>Para</t>
  </si>
  <si>
    <t>Gow2 Latour</t>
  </si>
  <si>
    <t>Hk. M. Luther Kingweg / Latourweg</t>
  </si>
  <si>
    <t>CKC Commodities</t>
  </si>
  <si>
    <t>Waterkant no 80</t>
  </si>
  <si>
    <t>ATM CKC WATERK.</t>
  </si>
  <si>
    <t>Lelydorp-Wanica</t>
  </si>
  <si>
    <t>Tourtonne, Hk. Anamoe-/Plutostraat</t>
  </si>
  <si>
    <t>Gow2 Tourtonne</t>
  </si>
  <si>
    <t>Jozef Israelstraat 106</t>
  </si>
  <si>
    <t>RCR Zorghotel</t>
  </si>
  <si>
    <t>Anton Dragtenweg 68</t>
  </si>
  <si>
    <t>ATM ZORGHOTEL</t>
  </si>
  <si>
    <t>Jozef Israëlstraat nr. 55-57 </t>
  </si>
  <si>
    <t>Finabank Noord</t>
  </si>
  <si>
    <r>
      <t>Kantoor:</t>
    </r>
    <r>
      <rPr>
        <sz val="11"/>
        <rFont val="Times New Roman"/>
        <family val="1"/>
      </rPr>
      <t> maandag t/m vrijdag van 08.00 uur tot en met 16.00 uur en elke zaterdag van de maand van 09.30 uur - 13.00 uur</t>
    </r>
  </si>
  <si>
    <t>Latour, Hk. Indira Gandhi-/Latourweg 10</t>
  </si>
  <si>
    <t>Roy Boedhoe Ringweg</t>
  </si>
  <si>
    <t>Copernicustraat 405</t>
  </si>
  <si>
    <t>Tulip Supermarket</t>
  </si>
  <si>
    <t>Tourtonnelaan</t>
  </si>
  <si>
    <t>ATM TULIP SUPERMARKT</t>
  </si>
  <si>
    <t>Courtyard Marriott</t>
  </si>
  <si>
    <t>Anton Dragtenweg 52-54 </t>
  </si>
  <si>
    <t>Jozef Israelstraat</t>
  </si>
  <si>
    <t>Hoek Luytenant Weyneweg en Struikenstraat 23</t>
  </si>
  <si>
    <t>Tamanredjo, Hadji Iding Soemitaweg 47</t>
  </si>
  <si>
    <t>DSB Ma Retratie</t>
  </si>
  <si>
    <t>Coronastraat 4</t>
  </si>
  <si>
    <t>Filiaal Nw Haven</t>
  </si>
  <si>
    <t>Havencomplex</t>
  </si>
  <si>
    <t>ATM NWE HAVEN</t>
  </si>
  <si>
    <t>Jep Makandra gebouw</t>
  </si>
  <si>
    <t>Nickerie, G.G. Maynardstraat 49</t>
  </si>
  <si>
    <t>Telesur Zonnebloemstraat</t>
  </si>
  <si>
    <t>Zonnebloemstraat</t>
  </si>
  <si>
    <t>ATM TELESUR ZON.</t>
  </si>
  <si>
    <t>Republic Bank</t>
  </si>
  <si>
    <t>Jozef Israëlstraat nr. 55 - 57</t>
  </si>
  <si>
    <t>Albina- Marowijne</t>
  </si>
  <si>
    <t>Number of ATMS</t>
  </si>
  <si>
    <t>Paramaribo and Wanica containing 36</t>
  </si>
  <si>
    <t>Winkelcentrum Koewarasan</t>
  </si>
  <si>
    <t>Wayamboweg br. 113</t>
  </si>
  <si>
    <t>Filiaal Flora</t>
  </si>
  <si>
    <t>Mr. Jagernath Lachmonstraat</t>
  </si>
  <si>
    <t>ATM FLORA  1</t>
  </si>
  <si>
    <t>Kernkampweg 26 </t>
  </si>
  <si>
    <t>Telefoon : (+597) 421546 tst 291</t>
  </si>
  <si>
    <t>Same as the amount of Cashpnts</t>
  </si>
  <si>
    <t>Adult population 15+</t>
  </si>
  <si>
    <t>SOL Indira Ghandiweg</t>
  </si>
  <si>
    <t>Indira Gandhiweg 13</t>
  </si>
  <si>
    <t>ATM FLORA  2</t>
  </si>
  <si>
    <t>Kristalstraat</t>
  </si>
  <si>
    <t>SPSB Nickerie</t>
  </si>
  <si>
    <t>Gow2 3e rijweg</t>
  </si>
  <si>
    <t>Kwattaweg 653</t>
  </si>
  <si>
    <t>Adek</t>
  </si>
  <si>
    <t>Leysweg hoofdingang UvS</t>
  </si>
  <si>
    <t>ATM ADEK</t>
  </si>
  <si>
    <t>Van't Hogerhuysstraat 3</t>
  </si>
  <si>
    <t>A.K. Doerga Sawhstraat 72</t>
  </si>
  <si>
    <t>Nieuw Aurora</t>
  </si>
  <si>
    <t>Gow2 Dwarka</t>
  </si>
  <si>
    <t>Martin Luter Kingweg 335</t>
  </si>
  <si>
    <t>Filiaal Tourtonne</t>
  </si>
  <si>
    <t>Hk. Anamoe- en Plutostraat</t>
  </si>
  <si>
    <t>ATM FIL TOURTONNE</t>
  </si>
  <si>
    <t>Nieuw Nickerie </t>
  </si>
  <si>
    <r>
      <t>Openingstijden:</t>
    </r>
    <r>
      <rPr>
        <sz val="11"/>
        <rFont val="Times New Roman"/>
        <family val="1"/>
      </rPr>
      <t> maandag t/m vrijdag van 08.00 uur tot en met 15.30 uur</t>
    </r>
  </si>
  <si>
    <t>Cashpnt</t>
  </si>
  <si>
    <t>DSB Lelydorp</t>
  </si>
  <si>
    <t>Indira Gandhiweg 506</t>
  </si>
  <si>
    <t>RK Ziekenhuis</t>
  </si>
  <si>
    <t>Koninginnestraat 4</t>
  </si>
  <si>
    <t>ATM RKZ</t>
  </si>
  <si>
    <t>Republic Bank Hoofdkantoor </t>
  </si>
  <si>
    <t>Kerkplein 1</t>
  </si>
  <si>
    <t>Telefoon: +597 230027</t>
  </si>
  <si>
    <t>Suriname Times Mall</t>
  </si>
  <si>
    <t>Nieuw Aurora- Sipaliwini</t>
  </si>
  <si>
    <t>Washingstonstraat 1</t>
  </si>
  <si>
    <t>4e rijweg</t>
  </si>
  <si>
    <t>Vierde rijweg 80</t>
  </si>
  <si>
    <t>Best Mart</t>
  </si>
  <si>
    <t>ATM BESTMART</t>
  </si>
  <si>
    <t>Fax: +597 0230030</t>
  </si>
  <si>
    <t>Domineestraat</t>
  </si>
  <si>
    <t>Telefoon : (+597) 421546 tst 312/236</t>
  </si>
  <si>
    <t>Hermitage Mall unit 27-28</t>
  </si>
  <si>
    <t>Filiaal Latour</t>
  </si>
  <si>
    <t>Hk. Inidra Gandhi- en Latourweg</t>
  </si>
  <si>
    <t>ATM LATOUR  </t>
  </si>
  <si>
    <t>Mr. J. Lachmonstraat/Nickeriestraat 1</t>
  </si>
  <si>
    <r>
      <t> </t>
    </r>
    <r>
      <rPr>
        <b/>
        <sz val="11"/>
        <rFont val="Times New Roman"/>
        <family val="1"/>
      </rPr>
      <t>Atjoni</t>
    </r>
  </si>
  <si>
    <t>Van 't Hogerhuysstraat 62</t>
  </si>
  <si>
    <t>Landbouwbank</t>
  </si>
  <si>
    <t>J.A. Pengelluchthaven</t>
  </si>
  <si>
    <t>Surpermarkt Xiang Young</t>
  </si>
  <si>
    <t>Hk. Magentakanaal/Nw. Weergevondenweg 363</t>
  </si>
  <si>
    <t>ATM HK NW WEER MAGENTAK</t>
  </si>
  <si>
    <t>Service Station </t>
  </si>
  <si>
    <t>Ringweg Noord 190</t>
  </si>
  <si>
    <t>Kong Fa Supermarkt</t>
  </si>
  <si>
    <t>Franchepanestraat 121</t>
  </si>
  <si>
    <t>ATM FRANCHEPANESTR 121</t>
  </si>
  <si>
    <t>Roy Boedhoe Enterprises - </t>
  </si>
  <si>
    <t>Openingstijden: maandag – vrijdag: 07.00 uur – 17.00 uur</t>
  </si>
  <si>
    <t>Red Apple</t>
  </si>
  <si>
    <r>
      <t>Kassa:</t>
    </r>
    <r>
      <rPr>
        <sz val="11"/>
        <rFont val="Times New Roman"/>
        <family val="1"/>
      </rPr>
      <t> maandag t/m vrijdag van 08.00 uur tot en met 15.30 uur en elke laatste zaterdag van de maand van 09.30 uur - 12.30 uur</t>
    </r>
  </si>
  <si>
    <t>Landingstraat 6</t>
  </si>
  <si>
    <t>Headquarter</t>
  </si>
  <si>
    <t>-Surichange bank</t>
  </si>
  <si>
    <t>Meerzorg</t>
  </si>
  <si>
    <t>Oost West Verbinding 267</t>
  </si>
  <si>
    <t>King’s Drankenpaleis</t>
  </si>
  <si>
    <t>Weg naar Maretraite/Hoek Alexander Samuelstraat</t>
  </si>
  <si>
    <t>ATM KINGS MA'TRAITEWEG</t>
  </si>
  <si>
    <t>Gome &amp; Go Express</t>
  </si>
  <si>
    <t>zaterdag: 08.00 uur – 12.00 uur</t>
  </si>
  <si>
    <t>Indira Gandhiweg</t>
  </si>
  <si>
    <r>
      <t>Kantoor:</t>
    </r>
    <r>
      <rPr>
        <sz val="11"/>
        <rFont val="Times New Roman"/>
        <family val="1"/>
      </rPr>
      <t> maandag t/m vrijdag van 08.00 uur tot en met 16.00 uur en elke laatste zaterdag van de maand van 09.30 uur - 13.00 uur</t>
    </r>
  </si>
  <si>
    <t>Chris Silosweg 3</t>
  </si>
  <si>
    <t>Lin Yuezhi Supermarket</t>
  </si>
  <si>
    <t>Commissaris Roblesweg 31</t>
  </si>
  <si>
    <t>SOL Jozef Israelstraat</t>
  </si>
  <si>
    <t>Hk. Jozef Israel/Gompertstraat</t>
  </si>
  <si>
    <t>ATM ISRAELSTR/ GOMPERTS</t>
  </si>
  <si>
    <t>Shell</t>
  </si>
  <si>
    <t>Coesewijnestraat 20 </t>
  </si>
  <si>
    <t>Naast Politie Atjoni</t>
  </si>
  <si>
    <t>Saramacca</t>
  </si>
  <si>
    <t>Restaurant Chi Min</t>
  </si>
  <si>
    <t>Cornelis Jongbawstraat 83</t>
  </si>
  <si>
    <t>ATM CORNELIS JONG BAWST</t>
  </si>
  <si>
    <t>Atjoni- Sipaliwini</t>
  </si>
  <si>
    <t>Superstore Panday</t>
  </si>
  <si>
    <t>Larecoweg 149</t>
  </si>
  <si>
    <t>Supermarket Shadien</t>
  </si>
  <si>
    <t>Anton Dragtenweg 204 </t>
  </si>
  <si>
    <t>Apotheek Ligeon N.V.</t>
  </si>
  <si>
    <t>Telefoon: (+597) 421546 tst 347/348/349</t>
  </si>
  <si>
    <t>Coronie</t>
  </si>
  <si>
    <t>Zwembad Parima</t>
  </si>
  <si>
    <t>Eddy Brumastraat 75</t>
  </si>
  <si>
    <t>ATM EDDY BRUMASTRAAT</t>
  </si>
  <si>
    <t>Latourweg 17</t>
  </si>
  <si>
    <t>District Commisariaat</t>
  </si>
  <si>
    <t>Friendship</t>
  </si>
  <si>
    <t>Wang Fu Surpermarkt</t>
  </si>
  <si>
    <t>Kwattaweg 599</t>
  </si>
  <si>
    <t>ATM KWATTAWEG 599  </t>
  </si>
  <si>
    <t>Telesur Lelydorp</t>
  </si>
  <si>
    <t>Indira Ghandiweg 474 </t>
  </si>
  <si>
    <t>Finabank Noord </t>
  </si>
  <si>
    <t>DSB Nickerie</t>
  </si>
  <si>
    <t>Building Depôt Suriname</t>
  </si>
  <si>
    <t>Hk. Gompert/Ringweg Zuid 243</t>
  </si>
  <si>
    <t>ATM BUILDING DEPOT</t>
  </si>
  <si>
    <t>Texaco Amirkhan</t>
  </si>
  <si>
    <t>Kwattaweg 237-239</t>
  </si>
  <si>
    <t>Finabank Zuid</t>
  </si>
  <si>
    <t>Finabank Nickerie </t>
  </si>
  <si>
    <t>Dr. Lachmipersad Streekziekenhuis</t>
  </si>
  <si>
    <t>Annastraat 35</t>
  </si>
  <si>
    <t>Mr. J. Lachmonstraat 49</t>
  </si>
  <si>
    <t>Kernkampweg 26</t>
  </si>
  <si>
    <t>Wooncentrum Henar</t>
  </si>
  <si>
    <t>Henar Polder</t>
  </si>
  <si>
    <t>District Wanica</t>
  </si>
  <si>
    <t>The Pinnacle</t>
  </si>
  <si>
    <t>Commissaris Weytingweg 27</t>
  </si>
  <si>
    <t>Hoek Mr. J. Lachmonstraat/Nickeriestraat 1</t>
  </si>
  <si>
    <t>Jozef Israëlstraat nr. 55-57</t>
  </si>
  <si>
    <t xml:space="preserve">Headquarter </t>
  </si>
  <si>
    <t>DSB Moengo</t>
  </si>
  <si>
    <t>Kapitein Chris Silosweg 3</t>
  </si>
  <si>
    <t>Ming Xing Supermarket</t>
  </si>
  <si>
    <t>Comm Weytinghweg 274 (Leiding 10)</t>
  </si>
  <si>
    <t>ATM LEID.10 COMM.WEYT.W</t>
  </si>
  <si>
    <t>Torarica Hotel</t>
  </si>
  <si>
    <t>Mr. L.J. Rietbergplein 1</t>
  </si>
  <si>
    <t>Politiepost Apoera</t>
  </si>
  <si>
    <t>Mohamed Jasin Nasrullahstraat 79</t>
  </si>
  <si>
    <t>Service Station "DE AUTOMAAT De 4-S</t>
  </si>
  <si>
    <t>Martin Luther Kingweg no 95</t>
  </si>
  <si>
    <t>ATM BHIKIE   </t>
  </si>
  <si>
    <t>Coppenamelaan kavel 64</t>
  </si>
  <si>
    <t>Branch  Lelydorp</t>
  </si>
  <si>
    <t>Service Station R. Mahespalsingh</t>
  </si>
  <si>
    <t>Hk. Indira Ghandiweg en Welgedacht C</t>
  </si>
  <si>
    <t>ATM WELGEDACHT C</t>
  </si>
  <si>
    <t>Apoera</t>
  </si>
  <si>
    <t>Branch Albina</t>
  </si>
  <si>
    <t>Complex Marina Doerga</t>
  </si>
  <si>
    <t>Sir W. Churchillweg</t>
  </si>
  <si>
    <t>ATM DIJKVELD</t>
  </si>
  <si>
    <t>Finabank</t>
  </si>
  <si>
    <t>Automated teller machines (ATMs) (per 100,000 adults)</t>
  </si>
  <si>
    <t>Branche Godo</t>
  </si>
  <si>
    <t>7 </t>
  </si>
  <si>
    <t>Dihal Supermarkt</t>
  </si>
  <si>
    <t>Garnizoenspad #84</t>
  </si>
  <si>
    <t>ATM GARNIZOENSPAD 84 </t>
  </si>
  <si>
    <t>8 </t>
  </si>
  <si>
    <t>Supermarkt Jarikaba</t>
  </si>
  <si>
    <t>Lakatanweg/ Jarikaba Complex</t>
  </si>
  <si>
    <t>ATM JARIKABA</t>
  </si>
  <si>
    <t>Source: GBS, 2021_ primary data collection</t>
  </si>
  <si>
    <t>Domburg Waterkant</t>
  </si>
  <si>
    <t>Sir Winston Churchillweg</t>
  </si>
  <si>
    <t>ATM Domburg</t>
  </si>
  <si>
    <t>Yin Du Markt</t>
  </si>
  <si>
    <t>Hk Jozef Israelstraat/Kristalstraat</t>
  </si>
  <si>
    <t>Martin Luther Kingweg 82</t>
  </si>
  <si>
    <t>Indira Ghandiweg 144</t>
  </si>
  <si>
    <t>Brokopondo</t>
  </si>
  <si>
    <t>Rock Oil</t>
  </si>
  <si>
    <t>Knuffelsgracht10-14</t>
  </si>
  <si>
    <t>Oostkanaalstraat 5</t>
  </si>
  <si>
    <t>Choi's Supermarket</t>
  </si>
  <si>
    <t>Twee Kinderenweg 99</t>
  </si>
  <si>
    <t>Hoek Luytenant Weyneweg en Struikenstraat 23,</t>
  </si>
  <si>
    <t>Paramaribo Noord</t>
  </si>
  <si>
    <t>Naast Politie Atjoni, Atjoni</t>
  </si>
  <si>
    <t>Sipaliwini</t>
  </si>
  <si>
    <t>Hoek Indira Gandhiweg en De Craneweg 2</t>
  </si>
  <si>
    <t>Source: The Worldbank</t>
  </si>
  <si>
    <t>https://data.worldbank.org/indicator/FB.ATM.TOTL.P5?locations=SR</t>
  </si>
  <si>
    <t>Waterkant 104,</t>
  </si>
  <si>
    <t>Lim A Postraat no. 28 – 30</t>
  </si>
  <si>
    <t>Kwattaweg no. 614</t>
  </si>
  <si>
    <t>Hk Indira Gandhiweg 496/ van Drimmelenweg</t>
  </si>
  <si>
    <t>J.F Kennedyweg,Onverwacht Para</t>
  </si>
  <si>
    <t>Sidodadieweg BR.1</t>
  </si>
  <si>
    <t>Lodewijk Nicolsonstraat no.7</t>
  </si>
  <si>
    <t>G.G. Maynardstraat 814</t>
  </si>
  <si>
    <t>Rust en Werkweg 2</t>
  </si>
  <si>
    <t>Hadjie L. Soemitaweg, Serie E, #1</t>
  </si>
  <si>
    <t>Dr. Sophie Redmondstraat 71</t>
  </si>
  <si>
    <t>Same as HQ</t>
  </si>
  <si>
    <t>1, but not sure if they are already on the BNETS network</t>
  </si>
  <si>
    <t>Southern Commercial Bank N.V</t>
  </si>
  <si>
    <t>Tourtonnelaan 33</t>
  </si>
  <si>
    <t>None. They focus more on other financial products such as Mastercards, Unionpay cards, Investments in Gold.</t>
  </si>
  <si>
    <t>Table SR.2.2: Household and personal assets</t>
  </si>
  <si>
    <t>Percentage of households by ownership of selected household and personal assets, and percent distribution by ownership of dwelling, according to area of residence and regions, Suriname MICS, 2018</t>
  </si>
  <si>
    <t>Rural Interior</t>
  </si>
  <si>
    <t xml:space="preserve">Paramaribo </t>
  </si>
  <si>
    <t xml:space="preserve">Sipaliwini </t>
  </si>
  <si>
    <t>Percentage of households where at least one member owns or has a</t>
  </si>
  <si>
    <t xml:space="preserve">   Bank account</t>
  </si>
  <si>
    <t>Number of households</t>
  </si>
  <si>
    <t>From MICS data</t>
  </si>
  <si>
    <t>Worldbank Note:</t>
  </si>
  <si>
    <t>Net official development assistance (ODA) consists of disbursements of loans made on concessional terms (net of repayments of principal) and grants by official agencies of the members of the Development Assistance Committee (DAC), by multilateral institutions, and by non-DAC countries to promote economic development and welfare in countries and territories in the DAC list of ODA recipients. It includes loans with a grant element of at least 25 percent (calculated at a rate of discount of 10 percent). Net official aid refers to aid flows (net of repayments) from official donors to countries and territories in part II of the DAC list of recipients: more advanced countries of Central and Eastern Europe, the countries of the former Soviet Union, and certain advanced developing countries and territories. Official aid is provided under terms and conditions similar to those for ODA. Part II of the DAC List was abolished in 2005. The collection of data on official aid and other resource flows to Part II countries ended with 2004 data. Data are in current U.S. dollars.</t>
  </si>
  <si>
    <t>Suriname multilateral and bilateral creditors in US$ millions, 2023</t>
  </si>
  <si>
    <t>Net official development assistance and official aid received (constant 2021 US$)</t>
  </si>
  <si>
    <t>Debt Stock incl. Arrears</t>
  </si>
  <si>
    <t>In % of GDP</t>
  </si>
  <si>
    <t xml:space="preserve">Aid for trade by individual recipient country (Suriname) </t>
  </si>
  <si>
    <t>Trade-related other official flows by individual recipient country ( Suriname)</t>
  </si>
  <si>
    <t>in US$ Millions</t>
  </si>
  <si>
    <t>Multilateral creditors</t>
  </si>
  <si>
    <t>Commitments</t>
  </si>
  <si>
    <t>Disbursments</t>
  </si>
  <si>
    <t>IMF</t>
  </si>
  <si>
    <t>2002 - 15 avg</t>
  </si>
  <si>
    <t>Worldbank</t>
  </si>
  <si>
    <t>2006 - 08 avg</t>
  </si>
  <si>
    <t>IADB</t>
  </si>
  <si>
    <t>2009 - 11 avg</t>
  </si>
  <si>
    <t>Other Multilaterals of which:</t>
  </si>
  <si>
    <t>2012 - 14 avg</t>
  </si>
  <si>
    <t>Caribbean Development Bank</t>
  </si>
  <si>
    <t>2015 - 17 avg</t>
  </si>
  <si>
    <t>European Investment Bank</t>
  </si>
  <si>
    <t>Islamic Development Bank</t>
  </si>
  <si>
    <t>The OPEC Fund for International Development</t>
  </si>
  <si>
    <t>Source: WTO 2022</t>
  </si>
  <si>
    <t>Bilateral Creditors ow which:</t>
  </si>
  <si>
    <t xml:space="preserve">Retrieved from: </t>
  </si>
  <si>
    <t>Paris Club</t>
  </si>
  <si>
    <t>Table A B.7.; Page 195</t>
  </si>
  <si>
    <t>Table A B.32.; Page 243</t>
  </si>
  <si>
    <t>China</t>
  </si>
  <si>
    <t>India</t>
  </si>
  <si>
    <t>Note: This table excludes commercial creditors</t>
  </si>
  <si>
    <t>Source: Suriname Debt Management Office</t>
  </si>
  <si>
    <t>Source: Worldbank</t>
  </si>
  <si>
    <t xml:space="preserve">https://data.worldbank.org/indicator/DT.ODA.ALLD.CD?locations=SR </t>
  </si>
  <si>
    <t>https://greenfinancelac.org/resources/news/suriname-and-the-world-bank-sign-novel-project-to-strengthen-resilience-against-environmental-shocks/</t>
  </si>
  <si>
    <t xml:space="preserve">https://www.worldbank.org/en/news/press-release/2024/10/22/suriname-becomes-the-175th-member-of-the-world-bank-s-international-development-association </t>
  </si>
  <si>
    <t>Risico jongeren</t>
  </si>
  <si>
    <t xml:space="preserve"> Op jaar basis zal voor het beleidsgebied Risico Jongeren naar schatting tussen de SRD390.000,- en SRD615.000,- nodig zijn voor de geïdentificeerde beleidsmaatregelen. Hiervoor zal er voor een groot deel van de geschatte begroting getrokken worden uit de staats_x0002_middelen. Ook zullen de financieringsmogelijkheden bij de ontwikkelingspartners bekeken wor_x0002_den zoals de UNICEF.</t>
  </si>
  <si>
    <t xml:space="preserve"> Jeugd gemeenschapsontwikkeling</t>
  </si>
  <si>
    <t xml:space="preserve"> Op jaar basis zal voor het beleidsgebied Risico Jongeren naar schatting tussen de SRD155.000,- en SRD460.000,- nodig zijn voor de geïdentificeerde beleidsmaatregelen. Hiervoor zal er voor een groot deel van de geschatte begroting getrokken worden uit de staats_x0002_middelen. </t>
  </si>
  <si>
    <t>Jongeren participatie</t>
  </si>
  <si>
    <t xml:space="preserve"> Op jaar basis zal voor het beleidsgebied Jongeren Participatie naar schatting tussen de SRD820.000,- en SRD10.370.000,- nodig zijn voor de geïdentificeerde beleidsmaatregelen. Hiervoor zal er voor een groot deel van de geschatte begroting getrokken worden uit de staats_x0002_middelen </t>
  </si>
  <si>
    <t>Mainstreaming Jeugdbeleid</t>
  </si>
  <si>
    <t xml:space="preserve"> Op jaar basis zal voor het beleidsgebied Mainstreaming Jeugdbeleid naar schatting tussen de SRD100.000,- en SRD240.000,- nodig zijn voor de geïdentificeerde beleidsmaatregelen. Hiervoor zal er voor een groot deel van de geschatte begroting getrokken worden uit de staats_x0002_middelen. </t>
  </si>
  <si>
    <t>Min OWC- Youth Plans and Policies</t>
  </si>
  <si>
    <t>The Youth and Labor</t>
  </si>
  <si>
    <t>On the year basis, the Youth &amp; Labor policy area is estimated between the SRD240,000 and SRD455,000,-- for the identified policy measures. For this, for a large part of the estimated budget will be drawn from the state resources. The financing options for the development partners such as the ILO and UNICEF will also be viewed.</t>
  </si>
  <si>
    <t>In its entirety, the Ministry of AwJ will need an estimated annually budget  between the SRD2.610,000 and SRD14.513,000 in resources for the implementation of it identified policy measures in the government period 2020-2026, a large part will depend on The availability of state resources.</t>
  </si>
  <si>
    <t>Risk young people</t>
  </si>
  <si>
    <t xml:space="preserve"> In the risk area of ​​young people, the target group is people from the age of 16 to 30 years. This policy area has the following points of attention to know: adolescents development, youth information &amp; training, and youth entrepreneurship &amp; self -reliance. This policy area is in particular the working area of ​​the National Jongeren Affairs (NJA) Department and for the Youth Entrepreneurship &amp; Self -reliance section, this will be done in collaboration with the Labor Market and the Working Arms Department. Some measures that will be implemented within this policy area in the coming government period: installation and implementation of activities of the Sapid Prevention and Psycho Social Guidance Project Schools Mothers, PSM Project</t>
  </si>
  <si>
    <t>Youth community development</t>
  </si>
  <si>
    <t>Youth Community Development aims to create opportunities for juveniles in the Leef Tijdensgroep 0-24 years for increasing their knowledge, skills and competencies, which are them
must be able to work on the long term on self -development. The policy area
Youth Community Development will have the following points of attention, namely: Buurt -Dispeling &amp; Training work, meaningful leisure activity, framework training for neighborhood organizations. This BE LEIDS AREA is the working area of the Jeugdscentra sub -irectorate in particular. Some measuring len which will be implemented in the coming reign within this policy area
to be:
   Neighborhood development and training work
   Meaningful leisure activities</t>
  </si>
  <si>
    <t>Another aspect for an optimal development of youth is the right to participation. This is, among other things, notes that the youth must be able to fully participate in community life and be able to express themselves freely about matters that regret it. The youth must, therefore, be involved in the policy provisions, policy implementation and in the proposal and implementation of release models. The National Youth Institute (NJI) is the Institute that has to express the right of the participation of the youth at the administrative level and full experience, making youth policy focused and efficient. This expresses the NJI through the provision of information and insights to the government in order to ensure a harmonious youth policy in Gera Ken, as well as to ensure the monitoring of and control of the implementation of youth policy. The intentions for the upcoming policy period are primarily aimed at increasing both the active and passive participation of youth and is based on the ideas that true participation and participation in youth policy, as the task and competence of the youth parliament, moments of consultation and An effort to promote the involvement of youth representatives. Some measures that will be implemented in the upcoming regulation period are within this policy area: the evaluation and reform of the National Youth Parliament (NJP) NJI-Young Fund</t>
  </si>
  <si>
    <t>Mainstreaming Youth Policy</t>
  </si>
  <si>
    <t xml:space="preserve">It is a fact that besides the Ministry of AW&amp;J, which is responsible for a coordinated and planned youth policy, there are other ministries with youth -related tasks and that there are
As a result, there are interfaces with the ministry's working area. In addition, there are many social organizations and private organizations that develop activities within the working area of ​​the Mi Nisterie. In order to optimally coordinated and coordinated and coordinated and
plain youth policy in a professional and effective way, the ministry will
pay attention to, among other things, clearly determining the mandate and structure of
The Ministry of Aw &amp; J, in particular the Youth Affairs Directorate, with regard to youth policy
And conducting research into current youth related issues. Some measures that in
The coming reign will be carried out within this policy area:
  conduct research into the living and living conditions of young people at national level
and at the neighborhood level
  research into current youth related issues </t>
  </si>
  <si>
    <t xml:space="preserve">The interfaces concerning the Labor policy area and the Youth Affairs policy area will become light, especially young people in the labor market and child labor. Given the interfaces
as well as the complexity of this policy component, it is only logical that a number of orga within the Ministry of Aw &amp; J are involved in the implementation of this policy, but that at
The implementation will also work with several actors within the government and outside, such as business and social organizations. Some measures will be implemented within this policy area in the coming reign period:
   Offering self -reliance skills and professional training to risk young people.
   Dangerous work by young people and the monitoring of child labor will be in the
Referral system for child protection are further taken up
</t>
  </si>
  <si>
    <t>In its entirety, the Ministry of Aw &amp; J will need an estimated annually between the SRD2.610,000 and SRD14.513,000 in resources for the implementation of it identified policy measures in the government period 2020-2026, a large part will depend on The availability of state resources.</t>
  </si>
  <si>
    <t>ILO Geratificeerde Verdragen en Overeenkomsten betreffende de bescherming van werknemers</t>
  </si>
  <si>
    <t>Verdrag #</t>
  </si>
  <si>
    <t>Statuut Internationale Arbeidsorganisatie (ILO)(Versailles, 28 juni 1919) T / 24 -2-1976; Trb 1953 no.130</t>
  </si>
  <si>
    <t>Verdrag No.11: Right of Association (Agriculture) Convention, 1921
Het recht van vereniging van vergadering van landbouwers, (Geneve, 12 november 1921)  O / 15-6-1976; 
Trb. 1957 no.149 ; Stb.1926 no.327</t>
  </si>
  <si>
    <t>Verdrag No.13: White Lead (Painting) Convention, 1921
Het gebruik van loodwit in verfstoffen( Geneve, 19 november 1921).
O / 15-5-1976; 
Trb.1957 no.150 ; Stb J59</t>
  </si>
  <si>
    <t>Verdrag No.14 : Weekly Rest (Industry) Convention, 1921
De toepassing van de wekelijkse rustdag in de industrie
(Geneve, 17 november 1921)
 O / 15- 6 -1976 : Trb 1957 no.151 ; Stb.1926 no.184</t>
  </si>
  <si>
    <t>Verdrag No.17 : Workmen’s Compensation (Accidents) Convention,1925
De schadeloosstelling voor ongevallen, overkomen in verband met de dienstbetrekking, (Geneve, 10 juni 1925)
O / 15 – 6 – 1976 ; Trb.1957 no.154; Stb.1927 no.333</t>
  </si>
  <si>
    <t>Verdrag No.19 : Equality of Treatment (Accident Compensation)   Convention, 1925
Gelijkheid van behandeling van vreemde arbeiders en eigen onderdanen bij 
de ongevallenverzekering, ( Geneve, 5 juni 1925)
O / 15 -6-1976 ; Trb.1957 no.15 ; Stb.1927 no.333</t>
  </si>
  <si>
    <t>Verdrag No.27 : Marking of Weight (Packages Transported by Vessels) Convention, 1929
Betreffende de aanduiding van het gewicht op grote stukken van vervoer per 
schip, (Geneve, 21 juni 1929) 
O / 15 -6-1976 ; Trb.1957 no.160 ; Stb.1933 no.34</t>
  </si>
  <si>
    <t>Verdrag No.29 : Forced Labour Convention, 1930 Gedwongen of verplichte arbeid,
(Geneve, 28 juni 1930)
T / 15 -6-1976 ; Trb.1957 no.162</t>
  </si>
  <si>
    <t>2014 Protocol to the Forced Labour Convention, 1930 No. 29)
R/ 3 juni 2019 ; I/ 3 juni 2020</t>
  </si>
  <si>
    <t>Verdrag No.41: Night Work (Women) Convention (Revised),1934
De arbeid voor vrouwen, gedurende de nacht, (Geneve, 19 juni 1934)
T / 15 -6-1976 ; Trb.1957 no.164</t>
  </si>
  <si>
    <t>Verdrag No.42: Women’s Compensation (Occupational Diseases  
Convention (Revised,1934                                                                                                                                                                       Schadeloosstelling voor beroepsziekten (herzien) (Geneve, 21 juni 1934)
O / 15 -6-1976 ; Trb.1957 no.165  ; Stb.1940 no.10</t>
  </si>
  <si>
    <t>Verdrag No.62: Safety Provisions (Building) Convention, 1937
Veiligheidsvoorschriften in het bouwbedrijf(Geneve, 23 juni 1937)
 O / 15 -6-1976 ; Trb.1951 no.23</t>
  </si>
  <si>
    <t>Verdrag No.81: Labour Inspection Convention, 1947
Arbeidsinspectie, (Geneve, 11 juli 1947)
O / 15 -6-1976 ; Trb.1951 no.140 Stb.J 424</t>
  </si>
  <si>
    <t>Verdrag No.87:  Freedom of Association and Protection of the Right to organizeConvention, 1948
  De vrijheid tot het oprichten van vakverenigingen en de bescherming van de vakverenigingsrecht. ( San Francisco, 9 juli 1948)
O / 15-6-1976 ; Trb.1951 no.27 ; Stb. J 53</t>
  </si>
  <si>
    <t>Verdrag No.88: Employment Service Convention, 1948
De organisatie voor de werkgelegenheid, ( San Francisco, 9 juli 1948)
O / 15-6-1976 ; Trb.1951 no.28, Stb. J 547</t>
  </si>
  <si>
    <t>Verdrag No.94: Labour Clauses (Public Contracts) Convention,1948
Bepalingen ter regeling van arbeidsvoorwaarden bij Overheidskantoren.
(Geneve, 29 juni 1949)
O /15 -6 -1976 ; Trb.1951 no.31, Stb. 1951  J 541</t>
  </si>
  <si>
    <t>Verdrag No.95: Protection of Wages Convention,1949
De bescherming van het loon(Geneve, 1 juli 1949)
O /15 -6 -1976 ; Trb.1951 no.32; Stb.1951 no.542</t>
  </si>
  <si>
    <t>Verdrag No.96: Fee-Charging Employment Agencies Convention (Revised) 1949
Bureau voor de arbeidsbemiddeling welke voor hun bemiddeling betaling vragen (herzien). (Geneve, 1 juli 1949)
0 / 15 -6-1976 ; Trb.1951 no.33, Stb.1951, no.543</t>
  </si>
  <si>
    <t>Verdrag No.101: Holidays with Pay (Agriculture) Convention,1952
Betaalde vakantie in de landbouw. (Geneve, 26 juni 1952)
O / 15-6-1976 ; Trb.1953 No.68</t>
  </si>
  <si>
    <t>Verdrag No.105: Abolition of Forced Labour Convention,1957
De afschaffing van gedwongen arbeid. (Geneve, 25 juni 1957)
O / 15-6-1976 ; Trb.1957 No.210</t>
  </si>
  <si>
    <t>Verdrag No.106: Weekly Rest (Commerce and Offices) Convention,1957
De wekelijkse rustdag in de handel en de kantoren.
(Geneve, 26 juni 1957)
O / 15-6-1976 ; Trb.1962 No.40</t>
  </si>
  <si>
    <t>Verdrag No.112: Minimum Ages (Fisherman) Convention 1957
De minimum leeftijd voor toelating tot te werkstelling als visser.
(Geneve, 19 juni 1959)
O / 15-6-1976 ; Trb.1962 no.42</t>
  </si>
  <si>
    <t>Verdrag No.118: Equality of Treatment (Social Security) Convention,1962
De gelijke behandeling van ondernemers en Vreemdelingen op het gebied
van de Sociale Zekerheid. (Geneve, 28 juni 1962)
O / 15-6-1976 ; Trb.1962 no.122</t>
  </si>
  <si>
    <t>Verdrag No.122: Employment Policy Convention, 1964
Werkgelegenheidspolitiek(Geneve, 9 juli 1964)
O / 15-6-1976 ; Trb.1965 no. 11</t>
  </si>
  <si>
    <t>Verdrag No.135: Workers Representives Convention,1971
De bescherming van de vertegenwoordigers van de werknemers in de onderneming en hun te verlenen faciliteiten (Geneve, 23 juni 1971)
O / 15-6-1976 ; Trb.1971 no.207</t>
  </si>
  <si>
    <t>Verdrag No.144: Tripartite Consultation(International Labour Standards)1976
Tripartite raadplegingsprocedures ter bevordering van de tenuitvoerlegging 
van internationale arbeidsnormen(Geneve, 21 juni 1976)
R / 3-11-1979 ; Trb. 1976 no.177 ; V.B.1981 no.25</t>
  </si>
  <si>
    <t>Verdrag No.150: Labour Administration Convention, 1978
Betreffende de bestuurstaak op het gebied van de arbeid, taak, functies en organisaties (Geneve, 27-6-1978)
R / 24-9-1981; 
V.B.1981 no.26; Trb.1980 no.144 ; Trb.1978 no.147</t>
  </si>
  <si>
    <t>Verdrag No.151:  Labour Relations(Public Service) Convention,1978 Bescherming van het vakverenigingsrecht en de 
Procedures voor het vaststellen van arbeidsvoorwaarden in de openbare 
dienst (Geneve, 27-6-1978)  ;
Trb. 1979 no.50 ; Trb.1968 no. 72;  V.B.1981 no.27</t>
  </si>
  <si>
    <t>Private Employment Agncies Convention, 1997 (no. 181). Dezevervangt de “Fee-Charging Employment Agencies Convention (Rivised), 1949 N0. 96)
 I. op 12 april 2007/ R. op 12 april 2006</t>
  </si>
  <si>
    <t>Worst Forms of Child Labour Convention, 1999 (no. 182)
 Inw. op 12 april 2007/ R. op 12 april 2006</t>
  </si>
  <si>
    <t>Ractified Conventions</t>
  </si>
  <si>
    <t>Date</t>
  </si>
  <si>
    <t>Status</t>
  </si>
  <si>
    <t>Notes</t>
  </si>
  <si>
    <t>Fundamental</t>
  </si>
  <si>
    <t>C029 - Forced Labour Convention, 1930 (No. 29)P029 - Protocol of 2014 to the Forced Labour Convention, 1930 ratified on 03 Jun 2019 (In Force)</t>
  </si>
  <si>
    <t>In Force</t>
  </si>
  <si>
    <t>C087 - Freedom of Association and Protection of the Right to Organise Convention, 1948 (No. 87)</t>
  </si>
  <si>
    <t>C098 - Right to Organise and Collective Bargaining Convention, 1949 (No. 98)</t>
  </si>
  <si>
    <t>C100 - Equal Remuneration Convention, 1951 (No. 100)</t>
  </si>
  <si>
    <t>C105 - Abolition of Forced Labour Convention, 1957 (No. 105)</t>
  </si>
  <si>
    <t>C111 - Discrimination (Employment and Occupation) Convention, 1958 (No. 111)</t>
  </si>
  <si>
    <t>C138 - Minimum Age Convention, 1973 (No. 138)Minimum age specified: 16 years</t>
  </si>
  <si>
    <t>C182 - Worst Forms of Child Labour Convention, 1999 (No. 182)</t>
  </si>
  <si>
    <t>Governance</t>
  </si>
  <si>
    <t>C081 - Labour Inspection Convention, 1947 (No. 81)</t>
  </si>
  <si>
    <t>C122 - Employment Policy Convention, 1964 (No. 122)</t>
  </si>
  <si>
    <t>C129 - Labour Inspection (Agriculture) Convention, 1969 (No. 129)Has accepted Article 5, paragraph 1(b) and (c)</t>
  </si>
  <si>
    <t>Not in force</t>
  </si>
  <si>
    <t>The Convention will enter into force for Suriname on 28 Nov 2025.</t>
  </si>
  <si>
    <t>C144 - Tripartite Consultation (International Labour Standards) Convention, 1976 (No. 144)</t>
  </si>
  <si>
    <t>Technical</t>
  </si>
  <si>
    <t>C011 - Right of Association (Agriculture) Convention, 1921 (No. 11)</t>
  </si>
  <si>
    <t>C013 - White Lead (Painting) Convention, 1921 (No. 13)</t>
  </si>
  <si>
    <t>C014 - Weekly Rest (Industry) Convention, 1921 (No. 14)</t>
  </si>
  <si>
    <t>C017 - Workmen's Compensation (Accidents) Convention, 1925 (No. 17)</t>
  </si>
  <si>
    <t>C019 - Equality of Treatment (Accident Compensation) Convention, 1925 (No. 19)</t>
  </si>
  <si>
    <t>C027 - Marking of Weight (Packages Transported by Vessels) Convention, 1929 (No. 27)</t>
  </si>
  <si>
    <t>C041 - Night Work (Women) Convention (Revised), 1934 (No. 41)</t>
  </si>
  <si>
    <t>Abrogated Convention - By decision of the International Labour Conference at its 106th Session (2017)</t>
  </si>
  <si>
    <t>C042 - Workmen's Compensation (Occupational Diseases) Convention (Revised), 1934 (No. 42)</t>
  </si>
  <si>
    <t>C062 - Safety Provisions (Building) Convention, 1937 (No. 62)</t>
  </si>
  <si>
    <t>Abrogated Convention - By decision of the International Labour Conference at its 112th Session (2024)</t>
  </si>
  <si>
    <t>C088 - Employment Service Convention, 1948 (No. 88)</t>
  </si>
  <si>
    <t>C094 - Labour Clauses (Public Contracts) Convention, 1949 (No. 94)</t>
  </si>
  <si>
    <t>C095 - Protection of Wages Convention, 1949 (No. 95)</t>
  </si>
  <si>
    <t>C096 - Fee-Charging Employment Agencies Convention (Revised), 1949 (No. 96)Has accepted the provisions of Part II</t>
  </si>
  <si>
    <t>Automatic Denunciation on 12 Apr 2007 by convention C181</t>
  </si>
  <si>
    <t>C101 - Holidays with Pay (Agriculture) Convention, 1952 (No. 101)</t>
  </si>
  <si>
    <t>C102 - Social Security (Minimum Standards) Convention, 1952 (No. 102)Has accepted Parts II to X.</t>
  </si>
  <si>
    <t>C106 - Weekly Rest (Commerce and Offices) Convention, 1957 (No. 106)</t>
  </si>
  <si>
    <t>C112 - Minimum Age (Fishermen) Convention, 1959 (No. 112)</t>
  </si>
  <si>
    <t>Automatic Denunciation on 15 Jan 2019 by convention C138</t>
  </si>
  <si>
    <t>C118 - Equality of Treatment (Social Security) Convention, 1962 (No. 118)Has accepted Branch (g)</t>
  </si>
  <si>
    <t>C131 - Minimum Wage Fixing Convention, 1970 (No. 131)</t>
  </si>
  <si>
    <t>C135 - Workers' Representatives Convention, 1971 (No. 135)</t>
  </si>
  <si>
    <t>C150 - Labour Administration Convention, 1978 (No. 150)</t>
  </si>
  <si>
    <t>C151 - Labour Relations (Public Service) Convention, 1978 (No. 151)</t>
  </si>
  <si>
    <t>C154 - Collective Bargaining Convention, 1981 (No. 154)</t>
  </si>
  <si>
    <t>C181 - Private Employment Agencies Convention, 1997 (No. 181)</t>
  </si>
  <si>
    <t>C183 - Maternity Protection Convention, 2000 (No. 183)Period of maternity leave: 16 weeks</t>
  </si>
  <si>
    <t>Source: International Labor Organization (ILO)</t>
  </si>
  <si>
    <t xml:space="preserve">https://normlex.ilo.org/dyn/nrmlx_en/f?p=1000:11200:0::NO:11200:P11200_COUNTRY_ID:103287 </t>
  </si>
  <si>
    <t xml:space="preserve"> Conventions Not-ractified</t>
  </si>
  <si>
    <t>C155 - Occupational Safety and Health Convention, 1981 (No. 155)</t>
  </si>
  <si>
    <t>C187 - Promotional Framework for Occupational Safety and Health Convention, 2006 (No. 187)</t>
  </si>
  <si>
    <t>C012 - Workmen's Compensation (Agriculture) Convention, 1921 (No. 12)</t>
  </si>
  <si>
    <t>C077 - Medical Examination of Young Persons (Industry) Convention, 1946 (No. 77)</t>
  </si>
  <si>
    <t>C078 - Medical Examination of Young Persons (Non-Industrial Occupations) Convention, 1946 (No. 78)</t>
  </si>
  <si>
    <t>C097 - Migration for Employment Convention (Revised), 1949 (No. 97)</t>
  </si>
  <si>
    <t>C110 - Plantations Convention, 1958 (No. 110)</t>
  </si>
  <si>
    <t>C115 - Radiation Protection Convention, 1960 (No. 115)</t>
  </si>
  <si>
    <t>C120 - Hygiene (Commerce and Offices) Convention, 1964 (No. 120)</t>
  </si>
  <si>
    <t>C121 - Employment Injury Benefits Convention, 1964 [Schedule I amended in 1980] (No. 121)</t>
  </si>
  <si>
    <t>C124 - Medical Examination of Young Persons (Underground Work) Convention, 1965 (No. 124)</t>
  </si>
  <si>
    <t>C128 - Invalidity, Old-Age and Survivors' Benefits Convention, 1967 (No. 128)</t>
  </si>
  <si>
    <t>C130 - Medical Care and Sickness Benefits Convention, 1969 (No. 130)</t>
  </si>
  <si>
    <t>C137 - Dock Work Convention, 1973 (No. 137)</t>
  </si>
  <si>
    <t>C139 - Occupational Cancer Convention, 1974 (No. 139)</t>
  </si>
  <si>
    <t>C140 - Paid Educational Leave Convention, 1974 (No. 140)</t>
  </si>
  <si>
    <t>C141 - Rural Workers' Organisations Convention, 1975 (No. 141)</t>
  </si>
  <si>
    <t>C142 - Human Resources Development Convention, 1975 (No. 142)</t>
  </si>
  <si>
    <t>C143 - Migrant Workers (Supplementary Provisions) Convention, 1975 (No. 143)</t>
  </si>
  <si>
    <t>C148 - Working Environment (Air Pollution, Noise and Vibration) Convention, 1977 (No. 148)</t>
  </si>
  <si>
    <t>C149 - Nursing Personnel Convention, 1977 (No. 149)</t>
  </si>
  <si>
    <t>C152 - Occupational Safety and Health (Dock Work) Convention, 1979 (No. 152)</t>
  </si>
  <si>
    <t>C156 - Workers with Family Responsibilities Convention, 1981 (No. 156)</t>
  </si>
  <si>
    <t>C157 - Maintenance of Social Security Rights Convention, 1982 (No. 157)</t>
  </si>
  <si>
    <t>C159 - Vocational Rehabilitation and Employment (Disabled Persons) Convention, 1983 (No. 159)</t>
  </si>
  <si>
    <t>C160 - Labour Statistics Convention, 1985 (No. 160)</t>
  </si>
  <si>
    <t>C161 - Occupational Health Services Convention, 1985 (No. 161)</t>
  </si>
  <si>
    <t>C162 - Asbestos Convention, 1986 (No. 162)</t>
  </si>
  <si>
    <t>C167 - Safety and Health in Construction Convention, 1988 (No. 167)</t>
  </si>
  <si>
    <t>C168 - Employment Promotion and Protection against Unemployment Convention, 1988 (No. 168)</t>
  </si>
  <si>
    <t>C169 - Indigenous and Tribal Peoples Convention, 1989 (No. 169)</t>
  </si>
  <si>
    <t>C170 - Chemicals Convention, 1990 (No. 170)</t>
  </si>
  <si>
    <t>C171 - Night Work Convention, 1990 (No. 171)</t>
  </si>
  <si>
    <t>C172 - Working Conditions (Hotels and Restaurants) Convention, 1991 (No. 172)</t>
  </si>
  <si>
    <t>C173 - Protection of Workers' Claims (Employer's Insolvency) Convention, 1992 (No. 173)</t>
  </si>
  <si>
    <t>C174 - Prevention of Major Industrial Accidents Convention, 1993 (No. 174)</t>
  </si>
  <si>
    <t>C175 - Part-Time Work Convention, 1994 (No. 175)</t>
  </si>
  <si>
    <t>C176 - Safety and Health in Mines Convention, 1995 (No. 176)</t>
  </si>
  <si>
    <t>C177 - Home Work Convention, 1996 (No. 177)</t>
  </si>
  <si>
    <t>C184 - Safety and Health in Agriculture Convention, 2001 (No. 184)</t>
  </si>
  <si>
    <t>C185 - Seafarers' Identity Documents Convention (Revised), 2003, as amended (No. 185)</t>
  </si>
  <si>
    <t>C188 - Work in Fishing Convention, 2007 (No. 188)</t>
  </si>
  <si>
    <t>C189 - Domestic Workers Convention, 2011 (No. 189)</t>
  </si>
  <si>
    <t>C190 - Violence and Harassment Convention, 2019 (No. 190)</t>
  </si>
  <si>
    <t>C191 - Safe and Healthy Working Environment (Consequential Amendments) Convention, 2023 (No. 191)</t>
  </si>
  <si>
    <t>MLC, 2006 - Maritime Labour Convention, 2006 (MLC, 2006)</t>
  </si>
  <si>
    <t>P081 - Protocol of 1995 to the Labour Inspection Convention, 1947</t>
  </si>
  <si>
    <t>P089 - Protocol of 1990 to the Night Work (Women) Convention (Revised), 1948</t>
  </si>
  <si>
    <t>P110 - Protocol of 1982 to the Plantations Convention, 1958</t>
  </si>
  <si>
    <t>P155 - Protocol of 2002 to the Occupational Safety and Health Convention, 1981</t>
  </si>
  <si>
    <t xml:space="preserve">https://normlex.ilo.org/dyn/nrmlx_en/f?p=1000:11210:0::NO:11210:P11210_COUNTRY_ID:103287 </t>
  </si>
  <si>
    <t>Lijst van Arbeidswetten</t>
  </si>
  <si>
    <r>
      <t>·</t>
    </r>
    <r>
      <rPr>
        <sz val="7"/>
        <color rgb="FF000000"/>
        <rFont val="Times New Roman"/>
        <family val="1"/>
      </rPr>
      <t xml:space="preserve">         </t>
    </r>
    <r>
      <rPr>
        <sz val="12"/>
        <color rgb="FF000000"/>
        <rFont val="Times New Roman"/>
        <family val="1"/>
      </rPr>
      <t>Wet Omzetting Arbeidsovereenkomst Bepaalde Tijd naar Arbeidsovereenkomst Onbepaalde Tijd 2018</t>
    </r>
  </si>
  <si>
    <r>
      <t>·</t>
    </r>
    <r>
      <rPr>
        <sz val="7"/>
        <color rgb="FF000000"/>
        <rFont val="Times New Roman"/>
        <family val="1"/>
      </rPr>
      <t xml:space="preserve">         </t>
    </r>
    <r>
      <rPr>
        <sz val="12"/>
        <color rgb="FF000000"/>
        <rFont val="Times New Roman"/>
        <family val="1"/>
      </rPr>
      <t>Wet Collectieve Arbeidsovereenkomst</t>
    </r>
  </si>
  <si>
    <r>
      <t>·</t>
    </r>
    <r>
      <rPr>
        <sz val="7"/>
        <color rgb="FF000000"/>
        <rFont val="Times New Roman"/>
        <family val="1"/>
      </rPr>
      <t xml:space="preserve">         </t>
    </r>
    <r>
      <rPr>
        <sz val="12"/>
        <color rgb="FF000000"/>
        <rFont val="Times New Roman"/>
        <family val="1"/>
      </rPr>
      <t>Wet Vrijheid Vakvereniging</t>
    </r>
  </si>
  <si>
    <r>
      <t>·</t>
    </r>
    <r>
      <rPr>
        <sz val="7"/>
        <color rgb="FF000000"/>
        <rFont val="Times New Roman"/>
        <family val="1"/>
      </rPr>
      <t xml:space="preserve">         </t>
    </r>
    <r>
      <rPr>
        <sz val="12"/>
        <color rgb="FF000000"/>
        <rFont val="Times New Roman"/>
        <family val="1"/>
      </rPr>
      <t>Arbeidswet 1963</t>
    </r>
  </si>
  <si>
    <r>
      <t>·</t>
    </r>
    <r>
      <rPr>
        <sz val="7"/>
        <color rgb="FF000000"/>
        <rFont val="Times New Roman"/>
        <family val="1"/>
      </rPr>
      <t xml:space="preserve">         </t>
    </r>
    <r>
      <rPr>
        <sz val="12"/>
        <color rgb="FF000000"/>
        <rFont val="Times New Roman"/>
        <family val="1"/>
      </rPr>
      <t>Wet Arbeid Kinderen en Jeugdige Personen</t>
    </r>
  </si>
  <si>
    <r>
      <t>·</t>
    </r>
    <r>
      <rPr>
        <sz val="7"/>
        <color rgb="FF000000"/>
        <rFont val="Times New Roman"/>
        <family val="1"/>
      </rPr>
      <t xml:space="preserve">         </t>
    </r>
    <r>
      <rPr>
        <sz val="12"/>
        <color rgb="FF000000"/>
        <rFont val="Times New Roman"/>
        <family val="1"/>
      </rPr>
      <t>Ongevallenregeling</t>
    </r>
  </si>
  <si>
    <r>
      <t>·</t>
    </r>
    <r>
      <rPr>
        <sz val="7"/>
        <color rgb="FF000000"/>
        <rFont val="Times New Roman"/>
        <family val="1"/>
      </rPr>
      <t xml:space="preserve">         </t>
    </r>
    <r>
      <rPr>
        <sz val="12"/>
        <color rgb="FF000000"/>
        <rFont val="Times New Roman"/>
        <family val="1"/>
      </rPr>
      <t>Veiligheidswet</t>
    </r>
  </si>
  <si>
    <r>
      <t>·</t>
    </r>
    <r>
      <rPr>
        <sz val="7"/>
        <color rgb="FF000000"/>
        <rFont val="Times New Roman"/>
        <family val="1"/>
      </rPr>
      <t xml:space="preserve">         </t>
    </r>
    <r>
      <rPr>
        <sz val="12"/>
        <color rgb="FF000000"/>
        <rFont val="Times New Roman"/>
        <family val="1"/>
      </rPr>
      <t>Veiligheidsvoorschriften No.1 – No. 9</t>
    </r>
  </si>
  <si>
    <r>
      <t>·</t>
    </r>
    <r>
      <rPr>
        <sz val="7"/>
        <color rgb="FF000000"/>
        <rFont val="Times New Roman"/>
        <family val="1"/>
      </rPr>
      <t xml:space="preserve">         </t>
    </r>
    <r>
      <rPr>
        <sz val="12"/>
        <color rgb="FF000000"/>
        <rFont val="Times New Roman"/>
        <family val="1"/>
      </rPr>
      <t>Bouwbesluit 1</t>
    </r>
  </si>
  <si>
    <r>
      <t>·</t>
    </r>
    <r>
      <rPr>
        <sz val="7"/>
        <color rgb="FF000000"/>
        <rFont val="Times New Roman"/>
        <family val="1"/>
      </rPr>
      <t xml:space="preserve">         </t>
    </r>
    <r>
      <rPr>
        <sz val="12"/>
        <color rgb="FF000000"/>
        <rFont val="Times New Roman"/>
        <family val="1"/>
      </rPr>
      <t>Vakantiewet</t>
    </r>
  </si>
  <si>
    <r>
      <t>·</t>
    </r>
    <r>
      <rPr>
        <sz val="7"/>
        <color rgb="FF000000"/>
        <rFont val="Times New Roman"/>
        <family val="1"/>
      </rPr>
      <t xml:space="preserve">         </t>
    </r>
    <r>
      <rPr>
        <sz val="12"/>
        <color rgb="FF000000"/>
        <rFont val="Times New Roman"/>
        <family val="1"/>
      </rPr>
      <t>Arbeidsgeschillenwet</t>
    </r>
  </si>
  <si>
    <r>
      <t>·</t>
    </r>
    <r>
      <rPr>
        <sz val="7"/>
        <color rgb="FF000000"/>
        <rFont val="Times New Roman"/>
        <family val="1"/>
      </rPr>
      <t xml:space="preserve">         </t>
    </r>
    <r>
      <rPr>
        <sz val="12"/>
        <color rgb="FF000000"/>
        <rFont val="Times New Roman"/>
        <family val="1"/>
      </rPr>
      <t>Arbeidsbemiddelingswet 2017</t>
    </r>
  </si>
  <si>
    <r>
      <t>·</t>
    </r>
    <r>
      <rPr>
        <sz val="7"/>
        <color rgb="FF000000"/>
        <rFont val="Times New Roman"/>
        <family val="1"/>
      </rPr>
      <t xml:space="preserve">         </t>
    </r>
    <r>
      <rPr>
        <sz val="12"/>
        <color rgb="FF000000"/>
        <rFont val="Times New Roman"/>
        <family val="1"/>
      </rPr>
      <t>Wet Ter Beschikking Stellen Arbeidskrachten door Intermediairs 2018</t>
    </r>
  </si>
  <si>
    <r>
      <t>·</t>
    </r>
    <r>
      <rPr>
        <sz val="7"/>
        <color rgb="FF000000"/>
        <rFont val="Times New Roman"/>
        <family val="1"/>
      </rPr>
      <t xml:space="preserve">         </t>
    </r>
    <r>
      <rPr>
        <sz val="12"/>
        <color rgb="FF000000"/>
        <rFont val="Times New Roman"/>
        <family val="1"/>
      </rPr>
      <t>Ontslagwet 2018</t>
    </r>
  </si>
  <si>
    <r>
      <t>·</t>
    </r>
    <r>
      <rPr>
        <sz val="7"/>
        <color rgb="FF000000"/>
        <rFont val="Times New Roman"/>
        <family val="1"/>
      </rPr>
      <t xml:space="preserve">         </t>
    </r>
    <r>
      <rPr>
        <sz val="12"/>
        <color rgb="FF000000"/>
        <rFont val="Times New Roman"/>
        <family val="1"/>
      </rPr>
      <t>Wet Werkvergunning Vreemdelingen</t>
    </r>
  </si>
  <si>
    <r>
      <t>·</t>
    </r>
    <r>
      <rPr>
        <sz val="7"/>
        <color rgb="FF000000"/>
        <rFont val="Times New Roman"/>
        <family val="1"/>
      </rPr>
      <t xml:space="preserve">         </t>
    </r>
    <r>
      <rPr>
        <sz val="12"/>
        <color rgb="FF000000"/>
        <rFont val="Times New Roman"/>
        <family val="1"/>
      </rPr>
      <t>Wet Bekwame Burgers Caricom 2006</t>
    </r>
  </si>
  <si>
    <r>
      <t>·</t>
    </r>
    <r>
      <rPr>
        <sz val="7"/>
        <color rgb="FF000000"/>
        <rFont val="Times New Roman"/>
        <family val="1"/>
      </rPr>
      <t xml:space="preserve">         </t>
    </r>
    <r>
      <rPr>
        <sz val="12"/>
        <color rgb="FF000000"/>
        <rFont val="Times New Roman"/>
        <family val="1"/>
      </rPr>
      <t>Wet Minimumloon</t>
    </r>
  </si>
  <si>
    <r>
      <t>·</t>
    </r>
    <r>
      <rPr>
        <sz val="7"/>
        <color rgb="FF000000"/>
        <rFont val="Times New Roman"/>
        <family val="1"/>
      </rPr>
      <t xml:space="preserve">         </t>
    </r>
    <r>
      <rPr>
        <sz val="12"/>
        <color rgb="FF000000"/>
        <rFont val="Times New Roman"/>
        <family val="1"/>
      </rPr>
      <t>Wet Algemeen Pensioen</t>
    </r>
  </si>
  <si>
    <r>
      <t>·</t>
    </r>
    <r>
      <rPr>
        <sz val="7"/>
        <color rgb="FF000000"/>
        <rFont val="Times New Roman"/>
        <family val="1"/>
      </rPr>
      <t xml:space="preserve">         </t>
    </r>
    <r>
      <rPr>
        <sz val="12"/>
        <color rgb="FF000000"/>
        <rFont val="Times New Roman"/>
        <family val="1"/>
      </rPr>
      <t>Wet Arbeidsbescherming Gezin</t>
    </r>
  </si>
  <si>
    <r>
      <t>·</t>
    </r>
    <r>
      <rPr>
        <sz val="7"/>
        <color rgb="FF000000"/>
        <rFont val="Times New Roman"/>
        <family val="1"/>
      </rPr>
      <t xml:space="preserve">         </t>
    </r>
    <r>
      <rPr>
        <sz val="12"/>
        <color rgb="FF000000"/>
        <rFont val="Times New Roman"/>
        <family val="1"/>
      </rPr>
      <t>Wet Nationale Basiszorgverzekering</t>
    </r>
  </si>
  <si>
    <r>
      <t>·</t>
    </r>
    <r>
      <rPr>
        <sz val="7"/>
        <color rgb="FF000000"/>
        <rFont val="Times New Roman"/>
        <family val="1"/>
      </rPr>
      <t xml:space="preserve">         </t>
    </r>
    <r>
      <rPr>
        <sz val="12"/>
        <color rgb="FF000000"/>
        <rFont val="Times New Roman"/>
        <family val="1"/>
      </rPr>
      <t>Wetboek van Strafrecht</t>
    </r>
  </si>
  <si>
    <r>
      <t>·</t>
    </r>
    <r>
      <rPr>
        <sz val="7"/>
        <color rgb="FF000000"/>
        <rFont val="Times New Roman"/>
        <family val="1"/>
      </rPr>
      <t xml:space="preserve">         </t>
    </r>
    <r>
      <rPr>
        <sz val="12"/>
        <color rgb="FF000000"/>
        <rFont val="Times New Roman"/>
        <family val="1"/>
      </rPr>
      <t>Wetboek van Koophandel</t>
    </r>
  </si>
  <si>
    <r>
      <t>·</t>
    </r>
    <r>
      <rPr>
        <sz val="7"/>
        <color rgb="FF000000"/>
        <rFont val="Times New Roman"/>
        <family val="1"/>
      </rPr>
      <t xml:space="preserve">         </t>
    </r>
    <r>
      <rPr>
        <sz val="12"/>
        <color rgb="FF000000"/>
        <rFont val="Times New Roman"/>
        <family val="1"/>
      </rPr>
      <t>Surinaams Burgerlijk Wetboek</t>
    </r>
  </si>
  <si>
    <t>·         Wet Geweld en Seksuele Intimidatie Arbeid</t>
  </si>
  <si>
    <t>·         Wet Gelijke Behandeling Arbeid</t>
  </si>
  <si>
    <t>Wetten in Behandeling (De Nationale Assemblee)</t>
  </si>
  <si>
    <t>·         Ontwerpwet Arbeidsomstandighedenwet 2019</t>
  </si>
  <si>
    <t>·         Ontwerpwet Wet Ondernemingsraadpleging</t>
  </si>
  <si>
    <t>·         Ontwerpwet wet Werktijdenregeling 2019</t>
  </si>
  <si>
    <t>·         Ontwerpwet wijziging Wet Werkvergunning Vreemdelingen (S.B. 1981 no. 62, zoals laatstelijk gewijzigd bij S.B. 2002 no.23)</t>
  </si>
  <si>
    <t>WET van 28 juni 2023, houdende nadere wijziging van de Personeelswet (G.B. 1962 no. 195, zoals laatstelijk gewijzigd bij S.B. 1988 no. 60) en nadere wijziging van de Ambtenarenpensioenwet 1972 (G.B. 1972 no 150, zoals laatstelijk gewijzigd bij S.B. 1997 no. 13)</t>
  </si>
  <si>
    <t>WET van 30 augustus 2023, houdende nadere wijziging van de Ongevallenregeling (G.B. 1947 No. 45, zoals laastelijk gewijzigd bij S.B. 2007 No. 111).</t>
  </si>
  <si>
    <t>WET van 30 augustus 2023, houdende wijziging van de Vacantiewet 1975 (S.B. 1975 no. 164c</t>
  </si>
  <si>
    <t>WET van 30 augustus 2023, houdende nadere wijziging van de Arbeidsgeschillenwet 1946 (G.B. 1946 no. 104, zoals gewijzigd bij G.B. 1948 no. 8)</t>
  </si>
  <si>
    <t>WET van 30 augustus 2023, houdende nadere wijziging van de Arbeidswet 1963 (G.B. 1963 no. 163, zoals laatstelijk gewijzigd bij S.B. 2018 no. 76).</t>
  </si>
  <si>
    <t>WET van 19 maart 2024, houdende wijziging van de Wet Minimumloon (S.B. 2019 no. 101)</t>
  </si>
  <si>
    <t>WET van 4 april 2024, houdende wijziging van de Wet Ter Beschikking Stellen Arbeidskrachten door Intermediairs (S.B. 2017 no. 42).</t>
  </si>
  <si>
    <t>11-15</t>
  </si>
  <si>
    <t>16-20</t>
  </si>
  <si>
    <t>21-30</t>
  </si>
  <si>
    <t>31-50</t>
  </si>
  <si>
    <t>51-70</t>
  </si>
  <si>
    <t>71-90</t>
  </si>
  <si>
    <t>91-150</t>
  </si>
  <si>
    <t>&gt;150</t>
  </si>
  <si>
    <t>Hourly Wage by Sex, 2022</t>
  </si>
  <si>
    <t>Source: Suriname Survey of Living Conditions</t>
  </si>
  <si>
    <t>in %</t>
  </si>
  <si>
    <t>Primair</t>
  </si>
  <si>
    <t>Secundair</t>
  </si>
  <si>
    <t>Tertiair</t>
  </si>
  <si>
    <t>Hourly Wage by Sector, 2022</t>
  </si>
  <si>
    <t>&lt; 750</t>
  </si>
  <si>
    <t>Between SRD 751 - SRD 1,500</t>
  </si>
  <si>
    <t>Between SRD 1,501 - SRD 2,500</t>
  </si>
  <si>
    <t>Between SRD 2,501 - SRD 3,600</t>
  </si>
  <si>
    <t>Between SRD 3,601 - SRD 5,200</t>
  </si>
  <si>
    <t>Between SRD 5,201 - SRD 7,000</t>
  </si>
  <si>
    <t>Between SRD 7,001 - SRD 9,000</t>
  </si>
  <si>
    <t>Between SRD 9,001 - SRD 11,000</t>
  </si>
  <si>
    <t>Between SRD 11,001 - SRD 13,000</t>
  </si>
  <si>
    <t>Between SRD 13,001 - SRD 14,000</t>
  </si>
  <si>
    <t>Between SRD 14,001 - SRD 16,500</t>
  </si>
  <si>
    <t>Between SRD 16,501 - SRD 18,500</t>
  </si>
  <si>
    <t>Between SRD 18,501 - SRD 21,000</t>
  </si>
  <si>
    <t>Between SRD 21,001 - SRD 24,000</t>
  </si>
  <si>
    <t>More than SRD 24,000</t>
  </si>
  <si>
    <t>Income Range in %, 2023</t>
  </si>
  <si>
    <t>Source: Lapop, 2023</t>
  </si>
  <si>
    <t>Occupation Group</t>
  </si>
  <si>
    <t>Gender</t>
  </si>
  <si>
    <t>0 Armed Forces</t>
  </si>
  <si>
    <t>1 Managerial Occupations</t>
  </si>
  <si>
    <t>2 Scientific Occupations</t>
  </si>
  <si>
    <t>3 Higher &amp; Middle Level Technicians &amp; Professionals</t>
  </si>
  <si>
    <t>4 Administrative Occupations</t>
  </si>
  <si>
    <t>5 Lower Level Service &amp; Commercial Occupations</t>
  </si>
  <si>
    <t>6 Skilled Workers in Agriculture &amp; Fisheries</t>
  </si>
  <si>
    <t>7 Craftsmen &amp; Artisans</t>
  </si>
  <si>
    <t>8 Plant &amp; Machine Operators &amp; Assembly Workers</t>
  </si>
  <si>
    <t>9 Elementary Occupations</t>
  </si>
  <si>
    <t>99 Unknown</t>
  </si>
  <si>
    <t>Source: Ministry of Labor, Employment and Youth Affairs, Labor Statistics Department</t>
  </si>
  <si>
    <t>Number of registered job seekers by occupational group and gender in 2022</t>
  </si>
  <si>
    <t xml:space="preserve">World Bank,
UNSD, ILO
</t>
  </si>
  <si>
    <t>MICS/ Childlabor survey, IDB living survey</t>
  </si>
  <si>
    <t>2021, zie table VNR , excelframework, statistics, NSO Statistical Yearbook Publication</t>
  </si>
  <si>
    <r>
      <t>8.10.1 (</t>
    </r>
    <r>
      <rPr>
        <i/>
        <sz val="10"/>
        <rFont val="Times New Roman"/>
        <family val="1"/>
      </rPr>
      <t>a</t>
    </r>
    <r>
      <rPr>
        <sz val="10"/>
        <rFont val="Times New Roman"/>
        <family val="1"/>
      </rPr>
      <t>) Number of commercial bank branches per 100,000 adults and (</t>
    </r>
    <r>
      <rPr>
        <i/>
        <sz val="10"/>
        <rFont val="Times New Roman"/>
        <family val="1"/>
      </rPr>
      <t>b</t>
    </r>
    <r>
      <rPr>
        <sz val="10"/>
        <rFont val="Times New Roman"/>
        <family val="1"/>
      </rPr>
      <t>) number of automated teller machines (ATMs) per 100,000 adults</t>
    </r>
  </si>
  <si>
    <t>Gross Value Added at basic prices (1000 SRD) by kind of Economic Activity at Constant Prices (2015 = 100) 2015-2020    and GDP market prices at Constant Prices (2015=100), 2015-2023</t>
  </si>
  <si>
    <r>
      <t>*</t>
    </r>
    <r>
      <rPr>
        <b/>
        <vertAlign val="superscript"/>
        <sz val="10"/>
        <rFont val="Times New Roman"/>
        <family val="1"/>
      </rPr>
      <t>(1)</t>
    </r>
    <r>
      <rPr>
        <b/>
        <sz val="10"/>
        <rFont val="Times New Roman"/>
        <family val="1"/>
      </rPr>
      <t>2024</t>
    </r>
  </si>
  <si>
    <t xml:space="preserve">Source: GBS- National Accounts, 2024, retrieved from: </t>
  </si>
  <si>
    <t xml:space="preserve">Source: GBS- National Accounts, 2021 and 2023 Retrieved from: </t>
  </si>
  <si>
    <r>
      <rPr>
        <vertAlign val="superscript"/>
        <sz val="10"/>
        <rFont val="Times New Roman"/>
        <family val="1"/>
      </rPr>
      <t>(1)</t>
    </r>
    <r>
      <rPr>
        <sz val="10"/>
        <rFont val="Times New Roman"/>
        <family val="1"/>
      </rPr>
      <t>The GDP figures for 2024 are projections from the Suriname 
Planning Bureau from October 2024, retrieved from:</t>
    </r>
  </si>
  <si>
    <t>Source: Peters (2017)</t>
  </si>
  <si>
    <t>Source: Author's Calculations</t>
  </si>
  <si>
    <t>Number of Persons Employed per Ministry, December 2018 - December 2022</t>
  </si>
  <si>
    <r>
      <t>2014 ( 1</t>
    </r>
    <r>
      <rPr>
        <vertAlign val="superscript"/>
        <sz val="10"/>
        <rFont val="Times New Roman"/>
        <family val="1"/>
      </rPr>
      <t>e</t>
    </r>
    <r>
      <rPr>
        <sz val="10"/>
        <rFont val="Times New Roman"/>
        <family val="1"/>
      </rPr>
      <t xml:space="preserve"> halfjaar)</t>
    </r>
  </si>
  <si>
    <r>
      <rPr>
        <b/>
        <sz val="11"/>
        <rFont val="Calibri"/>
        <family val="2"/>
        <scheme val="minor"/>
      </rPr>
      <t>Hoofdstuk 6Bedrijfsongevallen</t>
    </r>
    <r>
      <rPr>
        <sz val="11"/>
        <rFont val="Calibri"/>
        <family val="2"/>
        <scheme val="minor"/>
      </rPr>
      <t xml:space="preserve">
Bescherming van werknemers behoort tot een van de hoofdtaken van het Ministerie van Arbeid, Werkgelegenheid en Jeugdzaken. Een belangrijk onderdeel van de bescherming van werknemers betreft het voorkomen van bedrijfsongevallen. Vaneen bedrijfsongeval is er sprake wanneer een werknemer in verband met de dienstbetrekking een ongeval overkomt, welke de dood, een persoonlijk letsel of ziekte als gevolg heeft (ongevallen op weg van huis naar het werk en visa versa worden ook als zodanig beschouwd).
</t>
    </r>
  </si>
  <si>
    <r>
      <rPr>
        <b/>
        <sz val="11"/>
        <rFont val="Calibri"/>
        <family val="2"/>
        <scheme val="minor"/>
      </rPr>
      <t>Occupational safety and health (OSH) Suriname</t>
    </r>
    <r>
      <rPr>
        <sz val="11"/>
        <rFont val="Calibri"/>
        <family val="2"/>
        <scheme val="minor"/>
      </rPr>
      <t xml:space="preserve"> is one of the few Caribbean countries with comprehensive occupational health and safety insurance which is mandatory for all employees. With 1947 Legislation known as Surinaamse Ongevallen Regeling (SOR), social protection / compensation is offered to workers and their families after injuries or fatality. There are a number of challenges in the implementation of OSH, especially in the informal sector. With an understaffed and not optimally equipped Labour Inspection Service, it is impossible to cover all sectors and areas. OSH standards are often not met, especially within the informal small-scale gold mining sector. The MOL partners in the ‘Health in All Policies’ framework of the Ministry of Health. Health in All Policies (HiAP) is an approach to public policy that systematically takes into account the health implications of decisions, seeks synergies, and avoids harmful health impacts in order to improve population health and health equity.24 Within this framework, the MOL shares a responsibility, to promote a healthy and safe working environment (SDG 3).</t>
    </r>
  </si>
  <si>
    <t>Accidents Classified by ISUC Main Group and Seriousness of Accident, 2008-2021</t>
  </si>
  <si>
    <t>Age gr.</t>
  </si>
  <si>
    <r>
      <t>8.10.1 (</t>
    </r>
    <r>
      <rPr>
        <i/>
        <sz val="11"/>
        <rFont val="Times New Roman"/>
        <family val="1"/>
      </rPr>
      <t>a</t>
    </r>
    <r>
      <rPr>
        <sz val="11"/>
        <rFont val="Times New Roman"/>
        <family val="1"/>
      </rPr>
      <t>) Number of commercial bank branches per 100,000 adults and (</t>
    </r>
    <r>
      <rPr>
        <i/>
        <sz val="11"/>
        <rFont val="Times New Roman"/>
        <family val="1"/>
      </rPr>
      <t>b</t>
    </r>
    <r>
      <rPr>
        <sz val="11"/>
        <rFont val="Times New Roman"/>
        <family val="1"/>
      </rPr>
      <t>) number of automated teller machines (ATMs) per 100,000 adults</t>
    </r>
  </si>
  <si>
    <r>
      <t>Tel</t>
    </r>
    <r>
      <rPr>
        <sz val="9"/>
        <rFont val="Times New Roman"/>
        <family val="1"/>
      </rPr>
      <t>: (597) 471555/476270</t>
    </r>
  </si>
  <si>
    <r>
      <t>Opening Hours</t>
    </r>
    <r>
      <rPr>
        <sz val="9"/>
        <rFont val="Times New Roman"/>
        <family val="1"/>
      </rPr>
      <t>: Monday to Friday: 7:30 a.m. - 2:00 p.m.</t>
    </r>
  </si>
  <si>
    <r>
      <t>Tel</t>
    </r>
    <r>
      <rPr>
        <sz val="9"/>
        <rFont val="Times New Roman"/>
        <family val="1"/>
      </rPr>
      <t>: (597) 0231633/755 </t>
    </r>
  </si>
  <si>
    <r>
      <t>Tel</t>
    </r>
    <r>
      <rPr>
        <sz val="9"/>
        <rFont val="Times New Roman"/>
        <family val="1"/>
      </rPr>
      <t>: (597) 403363 </t>
    </r>
  </si>
  <si>
    <r>
      <t>Opening Hours</t>
    </r>
    <r>
      <rPr>
        <sz val="9"/>
        <rFont val="Times New Roman"/>
        <family val="1"/>
      </rPr>
      <t>: Monday to Friday: 7:30 a.m. - 2:00 p.m. </t>
    </r>
  </si>
  <si>
    <r>
      <t>Tel</t>
    </r>
    <r>
      <rPr>
        <sz val="9"/>
        <rFont val="Times New Roman"/>
        <family val="1"/>
      </rPr>
      <t>: (597) 400422</t>
    </r>
  </si>
  <si>
    <r>
      <t>Tel</t>
    </r>
    <r>
      <rPr>
        <sz val="9"/>
        <rFont val="Times New Roman"/>
        <family val="1"/>
      </rPr>
      <t>: (597) 422001</t>
    </r>
  </si>
  <si>
    <r>
      <t>Finabank Nickerie</t>
    </r>
    <r>
      <rPr>
        <sz val="10"/>
        <rFont val="Times New Roman"/>
        <family val="1"/>
      </rPr>
      <t> </t>
    </r>
  </si>
  <si>
    <t>Overview of approved and published laws</t>
  </si>
  <si>
    <t>5th ILO SURVEY ON NATIONAL STRATEGIES FOR YOUTH EMPLOYMENT</t>
  </si>
  <si>
    <t>1. Does your country have an officially-adopted1 national strategy that articulates a set of measures and provisions to promote youth employment?</t>
  </si>
  <si>
    <t>1.1.Please select the type of document(s), indicate the title, the timeframe, and attach the relevant document(s) and add the web link(s):</t>
  </si>
  <si>
    <t>National Strategy for Youth Employment</t>
  </si>
  <si>
    <t>National Action Plan for Youth Employment</t>
  </si>
  <si>
    <t>Youth Employment Law/Act</t>
  </si>
  <si>
    <t>Youth Policy/Strategy/Plan</t>
  </si>
  <si>
    <t>Type of Document</t>
  </si>
  <si>
    <t>Title</t>
  </si>
  <si>
    <t>Timeframe</t>
  </si>
  <si>
    <t>Mid-Term Labour Market Policy</t>
  </si>
  <si>
    <t>-Child Labour Act
-Labour Code
-Occupational Safety and Health Act
-Draft-Occupational  
-Safety and Health Act</t>
  </si>
  <si>
    <t>2022-2025</t>
  </si>
  <si>
    <t>National Employment Policy (addressing youth employment)</t>
  </si>
  <si>
    <t>National Development Strategy/Plan (addressing youth employment)</t>
  </si>
  <si>
    <t>Other (please specify</t>
  </si>
  <si>
    <t xml:space="preserve">National Development Plan </t>
  </si>
  <si>
    <t>1.Decent work Country Program 3
   (DWCP)
2. Mid Term Labour Market Policy
   (MTLMP)</t>
  </si>
  <si>
    <t>2023-2026
2022-2025</t>
  </si>
  <si>
    <t>1.2 Has your national government taken any actions towards adopting such a strategy in the next 2 years?</t>
  </si>
  <si>
    <t>1.3 If yes, please indicate which of the following actions have been carried out (mark all that apply with “X”):</t>
  </si>
  <si>
    <t>Discussions within the government</t>
  </si>
  <si>
    <t>Consultations with national-level stakeholders (e.g. employers’ and workers’ associations, youth councils, etc.)</t>
  </si>
  <si>
    <t>A draft strategy already exists</t>
  </si>
  <si>
    <t>Other (please specify)</t>
  </si>
  <si>
    <t>X</t>
  </si>
  <si>
    <r>
      <t xml:space="preserve">Other (please specify)
</t>
    </r>
    <r>
      <rPr>
        <sz val="11"/>
        <color rgb="FF00B050"/>
        <rFont val="Calibri"/>
        <family val="2"/>
        <scheme val="minor"/>
      </rPr>
      <t>The Decent Work Country Program III (2022-2026) has Priority 1 and Pririoty 2 focused on employment. The position of youth as one of the underserved groups is a crosscutting aspect in the Program.</t>
    </r>
  </si>
  <si>
    <t>1.4 Has your government taken any measures to specifically support youth employment in times of crisis?</t>
  </si>
  <si>
    <t>1.5 If yes, please list them below.</t>
  </si>
  <si>
    <t>1.As a result of the covid pandemic, covid support has been granted to peoplebetween 18-45 yrs  . In 2022, a project has been initiated to provide this group with further training to re-enter the labor market by being self employed or being assisted by the public employment service to achieve a job at an employer. 
2. The Foundation Labourmobilization and Development (a vocational school  and working arm of the MoL) is now executing in this time of economic challenges in the country a project ' Working for achieving better income' with the aim to provide, among others youn people, with specific skills, demanded by the labourmarket, so that they can increase their income by practising this skills for theirselves  or for an emplo</t>
  </si>
  <si>
    <t>Part I</t>
  </si>
  <si>
    <t>Part II</t>
  </si>
  <si>
    <t>2. Has an action plan(s) been adopted for the implementation of the strategy (it can be part of the strategy or a separate document)?</t>
  </si>
  <si>
    <t>2.1 If yes, please identify which of the following provisions are contained in the plan (mark all that apply with “X”):</t>
  </si>
  <si>
    <t>Monitoring framework (timeline and activity/outcome indicators, for example, youth labour market indicators)</t>
  </si>
  <si>
    <t>Funding (indicative budget to implement the plan)</t>
  </si>
  <si>
    <t>Institutional responsibilities (for example, ministries/agencies in charge of implementing specific activities)</t>
  </si>
  <si>
    <t xml:space="preserve">Other (please specify)
</t>
  </si>
  <si>
    <t>3. Have specific financial resources been allocated for the implementation of the provisions in the strategy?</t>
  </si>
  <si>
    <t>3.1 If yes, please indicate the ministry/agency responsible for the budget.</t>
  </si>
  <si>
    <t>The Ministery of Labour, Employment Opportunity and Youth Affairs</t>
  </si>
  <si>
    <t>4. Is there evidence of the implementation of the provisions mentioned in the strategy (e.g. progress, implementation, or impact reports)?</t>
  </si>
  <si>
    <t>4.1 If yes, please attach the relevant documents and/or include the web link:</t>
  </si>
  <si>
    <t xml:space="preserve">Result framework Mid Term Labourmarket Policy(MTLMP),2022-2025
</t>
  </si>
  <si>
    <t>Result framework Decent Work Country programme 3 (2023-2026)</t>
  </si>
  <si>
    <t>5. Does your country include youth as a target group in an adopted National Development Plan or Strategy and/or National Employment Policy?</t>
  </si>
  <si>
    <t>5.1 If yes, please indicate the title(s), attach the relevant document(s), and add the web link if available:</t>
  </si>
  <si>
    <t>National Develoment Plan 2022-2026</t>
  </si>
  <si>
    <t>6.Are there any national goals or objectives to promote youth employment (for example, “increasing decentjob opportunities for young people”)?</t>
  </si>
  <si>
    <t>6.1 If yes, please list them below and indicate the source (for example, National Youth Policy).</t>
  </si>
  <si>
    <t xml:space="preserve">1. A revised educational offer that ensures skills matching, workforce development, and equal access to educational opportunities. (MTLMP)
2. Education and training programmes are tailored to the current and future needs of the labour market.  (DWCP)
3. Improved policies, programmes and services to improve jobseekers' access to decent employment
4.Improved matching of supply and demand. </t>
  </si>
  <si>
    <t>7.Are there any quantitative targets to promote youth employment at the national level (for example,“reducing the youth unemployment rate from 12% in 2022 to 8% in 2024”)?</t>
  </si>
  <si>
    <t>No</t>
  </si>
  <si>
    <t>8. Please indicate the key areas of intervention in the strategies to promote youth employment in your country (mark all that apply with “X”).</t>
  </si>
  <si>
    <t>Macroeconomic and Sectoral policies
(e.g. fiscal, investment, or sectoral policies)</t>
  </si>
  <si>
    <t>Enterprise Development
(e.g. Enterprise start-ups by young people, measures to promote registration of existing companies in the informal economy, access to finance, access to non-financial services, etc.)</t>
  </si>
  <si>
    <t>Education, Training and skills development
(e.g. TVET, career education and career guidance, apprenticeships, internships, scholarships, lifelong learning, etc.)</t>
  </si>
  <si>
    <t>Labour Demand
(Incentives for employers to recruit young people, incentives to promote transition of informal young workers to the formal economy, etc.)</t>
  </si>
  <si>
    <t>Labour Law and Legislation
(Contractual arrangements for young people, anti-discrimination legislation, occupational safety and health for young workers, etc.)</t>
  </si>
  <si>
    <t>Labour Market Policies
(Public employment services, public works, active labour market programmes, income and social protection, wage policy, collective agreements on youth employment, etc.)</t>
  </si>
  <si>
    <t>9. To what extent are social partners (national employers’ and workers’ organizations) involved in the development and implementation of the national strategy to promote youth employment in your country?</t>
  </si>
  <si>
    <t>Please indicate in the table using the following 0-4 scale:</t>
  </si>
  <si>
    <t>4: Fully involved</t>
  </si>
  <si>
    <t>3: Partially involved (only for some elements of the strategy)</t>
  </si>
  <si>
    <t>2: Consulted</t>
  </si>
  <si>
    <t>1: Informed</t>
  </si>
  <si>
    <t>0: Not involved</t>
  </si>
  <si>
    <t>Implementation of youth employment strategies/programmes (e.g. social partners as official implementers of the strategy or programme)</t>
  </si>
  <si>
    <t>Formulation of youth employment strategies
(e.g. national action plan for youth)</t>
  </si>
  <si>
    <t>Development of youth employment programmes
(e.g. sectoral programme with a clear target to employ X number of youth)</t>
  </si>
  <si>
    <t>Assessment of youth employability
(alignment of youth qualifications and skills to labour market needs)</t>
  </si>
  <si>
    <t>Monitoring and evaluation of youth employment interventions
(e.g. active labour market programmes)</t>
  </si>
  <si>
    <t>Awareness raising, marketing and promotion of youth employment
(e.g. campaign to promote youth employment)</t>
  </si>
  <si>
    <t>Employers</t>
  </si>
  <si>
    <t>Workers</t>
  </si>
  <si>
    <t>10. Are any youth-led organisations (for example, youth councils) involved in the development and/or implementation of national strategies for youth employment?</t>
  </si>
  <si>
    <t>Yes, Partially involved (only for some elements of the strategy)</t>
  </si>
  <si>
    <t>10.2 Please add any other relevant information below (e.g. names of youth-led organizations involved).</t>
  </si>
  <si>
    <t>3. the National Youth Council (installed this year)</t>
  </si>
  <si>
    <t>1. Youth Directorate</t>
  </si>
  <si>
    <t>2.The National Youth Institute</t>
  </si>
  <si>
    <t>11. Have any initiatives been taken to create or strengthen national partnerships to promote youth employment (for example, partnership with national chambers of commerce and industry, international development agencies, etc.)?</t>
  </si>
  <si>
    <t>12. Does the national strategy to promote youth employment in your country include measures for inclusiveness of youth groups identified as particularly vulnerable or disadvantaged?</t>
  </si>
  <si>
    <t>Young women</t>
  </si>
  <si>
    <t>Young migrants</t>
  </si>
  <si>
    <t>Youth NEETs</t>
  </si>
  <si>
    <t>Youth with disabilities</t>
  </si>
  <si>
    <t>Low skilled youth</t>
  </si>
  <si>
    <t>Rural youth</t>
  </si>
  <si>
    <t>Other (please specify). Youth frim Indigenous and Tribal People</t>
  </si>
  <si>
    <t>13. Is there support from the ILO or other international agencies to promote youth employment in your country?</t>
  </si>
  <si>
    <t>13.1 If yes, please mention which agency and what kind of support.</t>
  </si>
  <si>
    <t>The ILO Decent Work Team and Office Caribbean:</t>
  </si>
  <si>
    <t>-Support in developing, implementing, monitoring and promoting the DWCP</t>
  </si>
  <si>
    <t>-Support in developing  the MTLMP</t>
  </si>
  <si>
    <t>14. Please add any additional information related to youth employment in your country.</t>
  </si>
  <si>
    <t>Accorording to the figures of the General Bureau of Statistics (Census data, Household survey data) can be stated that the  measured unemployment is the highest in the youth section (15-24 yrs), especially in the section 20-24 yrs.
Acording to Census data the unemployment % is as follows:   15-19 yrs ,33,9 %/  20-24 yrs,  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</si>
</sst>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
    <numFmt numFmtId="167" formatCode="_(* #,##0_);_(* \(#,##0\);_(* &quot;-&quot;??_);_(@_)"/>
    <numFmt numFmtId="168" formatCode="_(* #,##0.0_);_(* \(#,##0.0\);_(* &quot;-&quot;??_);_(@_)"/>
    <numFmt numFmtId="169" formatCode="_ * #,##0.00_ ;_ * \-#,##0.00_ ;_ * &quot;-&quot;??_ ;_ @_ "/>
    <numFmt numFmtId="170" formatCode="0_);\(0\)"/>
  </numFmts>
  <fonts count="6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sz val="12"/>
      <color theme="1"/>
      <name val="Calibri"/>
      <family val="2"/>
      <scheme val="minor"/>
    </font>
    <font>
      <sz val="11"/>
      <color theme="1"/>
      <name val="Times New Roman"/>
      <family val="1"/>
    </font>
    <font>
      <sz val="12"/>
      <color rgb="FF000000"/>
      <name val="Times New Roman"/>
      <family val="1"/>
    </font>
    <font>
      <u/>
      <sz val="11"/>
      <color theme="10"/>
      <name val="Calibri"/>
      <family val="2"/>
    </font>
    <font>
      <b/>
      <sz val="11"/>
      <color theme="1"/>
      <name val="Times New Roman"/>
      <family val="1"/>
    </font>
    <font>
      <sz val="11"/>
      <name val="Times New Roman"/>
      <family val="1"/>
    </font>
    <font>
      <sz val="11"/>
      <color indexed="8"/>
      <name val="Times New Roman"/>
      <family val="1"/>
    </font>
    <font>
      <b/>
      <sz val="11"/>
      <name val="Times New Roman"/>
      <family val="1"/>
    </font>
    <font>
      <sz val="11"/>
      <name val="Calibri"/>
      <family val="2"/>
      <scheme val="minor"/>
    </font>
    <font>
      <b/>
      <sz val="11"/>
      <name val="Calibri"/>
      <family val="2"/>
      <scheme val="minor"/>
    </font>
    <font>
      <b/>
      <sz val="8"/>
      <name val="Arial"/>
      <family val="2"/>
    </font>
    <font>
      <sz val="8"/>
      <name val="Arial"/>
      <family val="2"/>
    </font>
    <font>
      <b/>
      <sz val="12"/>
      <color theme="1"/>
      <name val="Calibri"/>
      <family val="2"/>
      <scheme val="minor"/>
    </font>
    <font>
      <u/>
      <sz val="11"/>
      <name val="Times New Roman"/>
      <family val="1"/>
    </font>
    <font>
      <sz val="11"/>
      <color theme="1"/>
      <name val="Calibri"/>
      <family val="2"/>
      <scheme val="minor"/>
    </font>
    <font>
      <sz val="10"/>
      <name val="Arial"/>
      <family val="2"/>
    </font>
    <font>
      <sz val="10"/>
      <name val="Times New Roman"/>
      <family val="1"/>
    </font>
    <font>
      <b/>
      <sz val="10"/>
      <name val="Times New Roman"/>
      <family val="1"/>
    </font>
    <font>
      <b/>
      <sz val="12"/>
      <color theme="1"/>
      <name val="Times New Roman"/>
      <family val="1"/>
    </font>
    <font>
      <b/>
      <sz val="10"/>
      <color theme="0"/>
      <name val="Arial"/>
      <family val="2"/>
    </font>
    <font>
      <vertAlign val="superscript"/>
      <sz val="8"/>
      <name val="Arial"/>
      <family val="2"/>
    </font>
    <font>
      <sz val="8"/>
      <color rgb="FF010205"/>
      <name val="Arial"/>
      <family val="2"/>
    </font>
    <font>
      <sz val="9"/>
      <name val="Arial"/>
      <family val="2"/>
    </font>
    <font>
      <b/>
      <vertAlign val="superscript"/>
      <sz val="8"/>
      <name val="Arial"/>
      <family val="2"/>
    </font>
    <font>
      <i/>
      <sz val="8"/>
      <name val="Arial"/>
      <family val="2"/>
    </font>
    <font>
      <b/>
      <i/>
      <sz val="11"/>
      <color theme="1"/>
      <name val="Times New Roman"/>
      <family val="1"/>
    </font>
    <font>
      <b/>
      <sz val="15"/>
      <color theme="1"/>
      <name val="Times New Roman"/>
      <family val="1"/>
    </font>
    <font>
      <u/>
      <sz val="12"/>
      <color rgb="FF000000"/>
      <name val="Times New Roman"/>
      <family val="1"/>
    </font>
    <font>
      <sz val="12"/>
      <color rgb="FF000000"/>
      <name val="Symbol"/>
      <family val="1"/>
      <charset val="2"/>
    </font>
    <font>
      <sz val="7"/>
      <color rgb="FF000000"/>
      <name val="Times New Roman"/>
      <family val="1"/>
    </font>
    <font>
      <b/>
      <sz val="10"/>
      <name val="Arial"/>
      <family val="2"/>
    </font>
    <font>
      <sz val="11"/>
      <color rgb="FFFF0066"/>
      <name val="Calibri"/>
      <family val="2"/>
      <scheme val="minor"/>
    </font>
    <font>
      <sz val="8"/>
      <name val="Calibri"/>
      <family val="2"/>
      <scheme val="minor"/>
    </font>
    <font>
      <u/>
      <sz val="11"/>
      <name val="Calibri"/>
      <family val="2"/>
      <scheme val="minor"/>
    </font>
    <font>
      <u/>
      <sz val="10"/>
      <name val="Times New Roman"/>
      <family val="1"/>
    </font>
    <font>
      <u/>
      <sz val="11"/>
      <name val="Calibri"/>
      <family val="2"/>
    </font>
    <font>
      <i/>
      <sz val="10"/>
      <name val="Times New Roman"/>
      <family val="1"/>
    </font>
    <font>
      <u/>
      <sz val="10"/>
      <name val="Calibri"/>
      <family val="2"/>
    </font>
    <font>
      <b/>
      <vertAlign val="superscript"/>
      <sz val="10"/>
      <name val="Times New Roman"/>
      <family val="1"/>
    </font>
    <font>
      <vertAlign val="superscript"/>
      <sz val="10"/>
      <name val="Times New Roman"/>
      <family val="1"/>
    </font>
    <font>
      <sz val="9"/>
      <color theme="1"/>
      <name val="Times New Roman"/>
      <family val="1"/>
    </font>
    <font>
      <sz val="10"/>
      <name val="Calibri"/>
      <family val="2"/>
      <scheme val="minor"/>
    </font>
    <font>
      <b/>
      <sz val="12"/>
      <name val="Times New Roman"/>
      <family val="1"/>
    </font>
    <font>
      <b/>
      <i/>
      <sz val="11"/>
      <name val="Times New Roman"/>
      <family val="1"/>
    </font>
    <font>
      <b/>
      <sz val="10"/>
      <name val="Calibri"/>
      <family val="2"/>
      <scheme val="minor"/>
    </font>
    <font>
      <sz val="12"/>
      <name val="Times New Roman"/>
      <family val="1"/>
    </font>
    <font>
      <b/>
      <sz val="11"/>
      <name val="Times'"/>
    </font>
    <font>
      <sz val="8"/>
      <name val="Times New Roman"/>
      <family val="1"/>
    </font>
    <font>
      <sz val="11"/>
      <name val="Calibri"/>
      <family val="2"/>
    </font>
    <font>
      <b/>
      <sz val="8"/>
      <name val="Times New Roman"/>
      <family val="1"/>
    </font>
    <font>
      <i/>
      <sz val="11"/>
      <name val="Times New Roman"/>
      <family val="1"/>
    </font>
    <font>
      <b/>
      <i/>
      <sz val="12"/>
      <name val="Times New Roman"/>
      <family val="1"/>
    </font>
    <font>
      <sz val="9"/>
      <name val="Times New Roman"/>
      <family val="1"/>
    </font>
    <font>
      <b/>
      <sz val="9"/>
      <name val="Times New Roman"/>
      <family val="1"/>
    </font>
    <font>
      <sz val="11"/>
      <color rgb="FFFF0000"/>
      <name val="Calibri"/>
      <family val="2"/>
      <scheme val="minor"/>
    </font>
    <font>
      <sz val="11"/>
      <color rgb="FF00B050"/>
      <name val="Calibri"/>
      <family val="2"/>
      <scheme val="minor"/>
    </font>
    <font>
      <b/>
      <sz val="11"/>
      <color rgb="FFFF0000"/>
      <name val="Calibri"/>
      <family val="2"/>
      <scheme val="minor"/>
    </font>
  </fonts>
  <fills count="23">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CECEC"/>
        <bgColor indexed="64"/>
      </patternFill>
    </fill>
    <fill>
      <patternFill patternType="solid">
        <fgColor rgb="FFF9F9F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bgColor indexed="64"/>
      </patternFill>
    </fill>
    <fill>
      <patternFill patternType="solid">
        <fgColor rgb="FFE2EF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45">
    <xf numFmtId="0" fontId="0" fillId="0" borderId="0"/>
    <xf numFmtId="0" fontId="7" fillId="0" borderId="0" applyNumberFormat="0" applyFill="0" applyBorder="0" applyAlignment="0" applyProtection="0">
      <alignment vertical="top"/>
      <protection locked="0"/>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19"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169" fontId="20" fillId="0" borderId="0" applyFont="0" applyFill="0" applyBorder="0" applyAlignment="0" applyProtection="0"/>
  </cellStyleXfs>
  <cellXfs count="725">
    <xf numFmtId="0" fontId="0" fillId="0" borderId="0" xfId="0"/>
    <xf numFmtId="0" fontId="0" fillId="0" borderId="1" xfId="0" applyBorder="1"/>
    <xf numFmtId="0" fontId="3" fillId="0" borderId="1" xfId="0" applyFont="1" applyBorder="1"/>
    <xf numFmtId="2" fontId="0" fillId="0" borderId="1" xfId="0" applyNumberFormat="1" applyBorder="1"/>
    <xf numFmtId="0" fontId="5" fillId="0" borderId="1" xfId="0" applyFont="1" applyBorder="1"/>
    <xf numFmtId="3" fontId="3" fillId="0" borderId="1" xfId="0" applyNumberFormat="1" applyFont="1" applyBorder="1" applyAlignment="1">
      <alignment horizontal="right" wrapText="1"/>
    </xf>
    <xf numFmtId="3" fontId="0" fillId="0" borderId="1" xfId="0" applyNumberFormat="1" applyBorder="1"/>
    <xf numFmtId="4" fontId="3" fillId="0" borderId="1" xfId="0" applyNumberFormat="1" applyFont="1" applyBorder="1" applyAlignment="1">
      <alignment horizontal="righ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0" fillId="0" borderId="1" xfId="0" applyBorder="1" applyAlignment="1">
      <alignment wrapText="1"/>
    </xf>
    <xf numFmtId="0" fontId="3" fillId="4" borderId="1" xfId="0" applyFont="1" applyFill="1" applyBorder="1" applyAlignment="1">
      <alignment wrapText="1"/>
    </xf>
    <xf numFmtId="0" fontId="3" fillId="4" borderId="1" xfId="0" applyFont="1" applyFill="1" applyBorder="1"/>
    <xf numFmtId="0" fontId="12" fillId="0" borderId="1" xfId="0" applyFont="1" applyBorder="1"/>
    <xf numFmtId="0" fontId="11" fillId="0" borderId="1" xfId="0" applyFont="1" applyBorder="1" applyAlignment="1">
      <alignment horizontal="left" wrapText="1" indent="1"/>
    </xf>
    <xf numFmtId="0" fontId="9" fillId="0" borderId="1" xfId="0" applyFont="1" applyBorder="1" applyAlignment="1">
      <alignment horizontal="left" wrapText="1" indent="1"/>
    </xf>
    <xf numFmtId="0" fontId="13" fillId="0" borderId="1" xfId="0" applyFont="1" applyBorder="1"/>
    <xf numFmtId="0" fontId="3" fillId="4" borderId="1" xfId="0" applyFont="1" applyFill="1" applyBorder="1" applyAlignment="1">
      <alignment textRotation="90" wrapText="1"/>
    </xf>
    <xf numFmtId="0" fontId="3" fillId="4" borderId="1" xfId="0" applyFont="1" applyFill="1" applyBorder="1" applyAlignment="1">
      <alignment textRotation="90"/>
    </xf>
    <xf numFmtId="0" fontId="0" fillId="3" borderId="1" xfId="0" applyFill="1" applyBorder="1"/>
    <xf numFmtId="0" fontId="2" fillId="4" borderId="1" xfId="0" applyFont="1" applyFill="1" applyBorder="1"/>
    <xf numFmtId="0" fontId="9" fillId="0" borderId="1" xfId="0" applyFont="1" applyBorder="1"/>
    <xf numFmtId="0" fontId="11" fillId="0" borderId="1" xfId="0" applyFont="1" applyBorder="1" applyAlignment="1">
      <alignment wrapText="1"/>
    </xf>
    <xf numFmtId="0" fontId="9" fillId="0" borderId="1" xfId="0" applyFont="1" applyBorder="1" applyAlignment="1">
      <alignment wrapText="1"/>
    </xf>
    <xf numFmtId="0" fontId="17" fillId="0" borderId="1" xfId="1" applyFont="1" applyBorder="1" applyAlignment="1" applyProtection="1">
      <alignment wrapText="1"/>
    </xf>
    <xf numFmtId="3" fontId="0" fillId="0" borderId="0" xfId="0" applyNumberFormat="1"/>
    <xf numFmtId="0" fontId="3" fillId="0" borderId="0" xfId="0" applyFont="1"/>
    <xf numFmtId="0" fontId="3" fillId="0" borderId="0" xfId="0" applyFont="1" applyAlignment="1">
      <alignment horizontal="center" vertical="center"/>
    </xf>
    <xf numFmtId="3" fontId="3" fillId="0" borderId="0" xfId="0" applyNumberFormat="1" applyFont="1"/>
    <xf numFmtId="0" fontId="0" fillId="0" borderId="0" xfId="0" applyAlignment="1">
      <alignment vertical="center" wrapText="1"/>
    </xf>
    <xf numFmtId="17" fontId="0" fillId="0" borderId="1" xfId="0" applyNumberFormat="1" applyBorder="1"/>
    <xf numFmtId="0" fontId="0" fillId="0" borderId="0" xfId="0" applyAlignment="1">
      <alignment wrapText="1"/>
    </xf>
    <xf numFmtId="0" fontId="7" fillId="0" borderId="0" xfId="1" applyAlignment="1" applyProtection="1"/>
    <xf numFmtId="0" fontId="15" fillId="0" borderId="11" xfId="0" applyFont="1" applyBorder="1" applyAlignment="1">
      <alignment horizontal="right" vertical="center" wrapText="1"/>
    </xf>
    <xf numFmtId="0" fontId="15" fillId="0" borderId="13" xfId="0" applyFont="1" applyBorder="1" applyAlignment="1">
      <alignment horizontal="right" vertical="center" wrapText="1"/>
    </xf>
    <xf numFmtId="165" fontId="25" fillId="0" borderId="0" xfId="12" applyNumberFormat="1" applyFont="1" applyAlignment="1">
      <alignment horizontal="right" vertical="top"/>
    </xf>
    <xf numFmtId="165" fontId="25" fillId="0" borderId="0" xfId="13" applyNumberFormat="1" applyFont="1" applyAlignment="1">
      <alignment horizontal="right" vertical="top"/>
    </xf>
    <xf numFmtId="0" fontId="15" fillId="0" borderId="0" xfId="0" applyFont="1"/>
    <xf numFmtId="165" fontId="25" fillId="0" borderId="0" xfId="14" applyNumberFormat="1" applyFont="1" applyAlignment="1">
      <alignment horizontal="right" vertical="top"/>
    </xf>
    <xf numFmtId="166" fontId="25" fillId="0" borderId="14" xfId="15" applyNumberFormat="1" applyFont="1" applyBorder="1" applyAlignment="1">
      <alignment horizontal="right" vertical="top"/>
    </xf>
    <xf numFmtId="0" fontId="14" fillId="0" borderId="8" xfId="0" applyFont="1" applyBorder="1" applyAlignment="1">
      <alignment horizontal="left" vertical="center"/>
    </xf>
    <xf numFmtId="0" fontId="15" fillId="0" borderId="8" xfId="0" applyFont="1" applyBorder="1" applyAlignment="1">
      <alignment horizontal="left" vertical="center" indent="1"/>
    </xf>
    <xf numFmtId="165" fontId="25" fillId="0" borderId="0" xfId="16" applyNumberFormat="1" applyFont="1" applyAlignment="1">
      <alignment horizontal="right" vertical="top"/>
    </xf>
    <xf numFmtId="165" fontId="25" fillId="0" borderId="0" xfId="17" applyNumberFormat="1" applyFont="1" applyAlignment="1">
      <alignment horizontal="right" vertical="top"/>
    </xf>
    <xf numFmtId="165" fontId="25" fillId="0" borderId="0" xfId="18" applyNumberFormat="1" applyFont="1" applyAlignment="1">
      <alignment horizontal="right" vertical="top"/>
    </xf>
    <xf numFmtId="166" fontId="25" fillId="0" borderId="14" xfId="19" applyNumberFormat="1" applyFont="1" applyBorder="1" applyAlignment="1">
      <alignment horizontal="right" vertical="top"/>
    </xf>
    <xf numFmtId="0" fontId="15" fillId="0" borderId="8" xfId="0" applyFont="1" applyBorder="1" applyAlignment="1">
      <alignment horizontal="left" vertical="center" wrapText="1"/>
    </xf>
    <xf numFmtId="0" fontId="15" fillId="0" borderId="8" xfId="0" applyFont="1" applyBorder="1" applyAlignment="1">
      <alignment horizontal="left" vertical="center"/>
    </xf>
    <xf numFmtId="0" fontId="15" fillId="0" borderId="8" xfId="0" quotePrefix="1" applyFont="1" applyBorder="1" applyAlignment="1">
      <alignment horizontal="left" vertical="center" indent="1"/>
    </xf>
    <xf numFmtId="165" fontId="26" fillId="0" borderId="0" xfId="20" applyNumberFormat="1" applyFont="1" applyAlignment="1">
      <alignment horizontal="right" vertical="top"/>
    </xf>
    <xf numFmtId="0" fontId="19" fillId="0" borderId="0" xfId="0" applyFont="1"/>
    <xf numFmtId="166" fontId="26" fillId="0" borderId="14" xfId="20" applyNumberFormat="1" applyFont="1" applyBorder="1" applyAlignment="1">
      <alignment horizontal="right" vertical="top"/>
    </xf>
    <xf numFmtId="0" fontId="15" fillId="0" borderId="14" xfId="0" applyFont="1" applyBorder="1"/>
    <xf numFmtId="0" fontId="1" fillId="0" borderId="0" xfId="0" applyFont="1" applyAlignment="1">
      <alignment horizontal="center" wrapText="1"/>
    </xf>
    <xf numFmtId="0" fontId="8" fillId="0" borderId="0" xfId="0" applyFont="1" applyAlignment="1">
      <alignment horizontal="center" vertical="top" wrapText="1"/>
    </xf>
    <xf numFmtId="0" fontId="5" fillId="0" borderId="0" xfId="0" applyFont="1" applyAlignment="1">
      <alignment horizontal="center" vertical="top"/>
    </xf>
    <xf numFmtId="0" fontId="5" fillId="0" borderId="1" xfId="0" applyFont="1" applyBorder="1" applyAlignment="1">
      <alignment wrapText="1"/>
    </xf>
    <xf numFmtId="0" fontId="30" fillId="0" borderId="1" xfId="0" applyFont="1" applyBorder="1" applyAlignment="1">
      <alignment horizontal="center" vertical="center"/>
    </xf>
    <xf numFmtId="0" fontId="22"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31" fillId="0" borderId="0" xfId="0" applyFont="1"/>
    <xf numFmtId="0" fontId="32" fillId="0" borderId="0" xfId="0" applyFont="1" applyAlignment="1">
      <alignment horizontal="left" indent="5"/>
    </xf>
    <xf numFmtId="0" fontId="6" fillId="0" borderId="0" xfId="0" applyFont="1"/>
    <xf numFmtId="0" fontId="7" fillId="0" borderId="0" xfId="1" applyAlignment="1" applyProtection="1">
      <alignment horizontal="left" indent="2"/>
    </xf>
    <xf numFmtId="0" fontId="0" fillId="0" borderId="1" xfId="0" quotePrefix="1" applyBorder="1" applyAlignment="1">
      <alignment horizontal="center"/>
    </xf>
    <xf numFmtId="0" fontId="1" fillId="4" borderId="1" xfId="0" applyFont="1" applyFill="1" applyBorder="1" applyAlignment="1">
      <alignment wrapText="1"/>
    </xf>
    <xf numFmtId="0" fontId="1" fillId="4" borderId="1" xfId="0" applyFont="1" applyFill="1" applyBorder="1"/>
    <xf numFmtId="0" fontId="9" fillId="0" borderId="1" xfId="0" applyFont="1" applyBorder="1" applyAlignment="1">
      <alignment horizontal="right" vertical="top"/>
    </xf>
    <xf numFmtId="0" fontId="0" fillId="0" borderId="0" xfId="0" applyAlignment="1">
      <alignment horizontal="left"/>
    </xf>
    <xf numFmtId="0" fontId="12" fillId="0" borderId="0" xfId="0" applyFont="1"/>
    <xf numFmtId="0" fontId="15" fillId="0" borderId="12" xfId="0" applyFont="1" applyBorder="1" applyAlignment="1">
      <alignment horizontal="left" vertical="center" wrapText="1"/>
    </xf>
    <xf numFmtId="0" fontId="20" fillId="0" borderId="1" xfId="0" applyFont="1" applyBorder="1" applyAlignment="1">
      <alignment horizontal="justify"/>
    </xf>
    <xf numFmtId="0" fontId="21" fillId="17" borderId="1" xfId="0" applyFont="1" applyFill="1" applyBorder="1" applyAlignment="1">
      <alignment vertical="top" wrapText="1"/>
    </xf>
    <xf numFmtId="0" fontId="20" fillId="0" borderId="1" xfId="0" applyFont="1" applyBorder="1" applyAlignment="1">
      <alignment horizontal="left" vertical="top" wrapText="1"/>
    </xf>
    <xf numFmtId="0" fontId="0" fillId="17" borderId="1" xfId="0" applyFill="1" applyBorder="1" applyAlignment="1">
      <alignment horizontal="left" vertical="center" wrapText="1" indent="1"/>
    </xf>
    <xf numFmtId="0" fontId="8" fillId="15" borderId="1" xfId="0" applyFont="1" applyFill="1" applyBorder="1" applyAlignment="1">
      <alignment horizontal="left" vertical="top" wrapText="1"/>
    </xf>
    <xf numFmtId="0" fontId="8" fillId="15" borderId="1" xfId="0" applyFont="1" applyFill="1" applyBorder="1" applyAlignment="1">
      <alignment horizontal="center" vertical="top" wrapText="1"/>
    </xf>
    <xf numFmtId="0" fontId="8" fillId="0" borderId="1" xfId="0" applyFont="1" applyBorder="1" applyAlignment="1">
      <alignment horizontal="left" vertical="top" wrapText="1"/>
    </xf>
    <xf numFmtId="0" fontId="29" fillId="0" borderId="0" xfId="0" applyFont="1"/>
    <xf numFmtId="0" fontId="8" fillId="0" borderId="1" xfId="0" applyFont="1" applyBorder="1" applyAlignment="1">
      <alignment horizontal="center" vertical="top"/>
    </xf>
    <xf numFmtId="0" fontId="0" fillId="0" borderId="1" xfId="0" applyBorder="1" applyAlignment="1">
      <alignment horizontal="right"/>
    </xf>
    <xf numFmtId="0" fontId="0" fillId="0" borderId="1" xfId="0" quotePrefix="1" applyBorder="1" applyAlignment="1">
      <alignment horizontal="right"/>
    </xf>
    <xf numFmtId="0" fontId="0" fillId="0" borderId="0" xfId="0" applyAlignment="1">
      <alignment horizontal="right"/>
    </xf>
    <xf numFmtId="0" fontId="0" fillId="4" borderId="1" xfId="0" applyFill="1" applyBorder="1"/>
    <xf numFmtId="0" fontId="5" fillId="4" borderId="1" xfId="0" applyFont="1" applyFill="1" applyBorder="1" applyAlignment="1">
      <alignment horizontal="center" vertical="top" wrapText="1"/>
    </xf>
    <xf numFmtId="0" fontId="12" fillId="0" borderId="0" xfId="0" applyFont="1" applyAlignment="1">
      <alignment horizontal="left" wrapText="1"/>
    </xf>
    <xf numFmtId="3" fontId="3" fillId="0" borderId="1" xfId="0" applyNumberFormat="1" applyFont="1" applyBorder="1"/>
    <xf numFmtId="0" fontId="3" fillId="0" borderId="1" xfId="0" applyFont="1" applyBorder="1" applyAlignment="1">
      <alignment horizontal="right" wrapText="1"/>
    </xf>
    <xf numFmtId="3" fontId="3" fillId="0" borderId="1" xfId="0" applyNumberFormat="1" applyFont="1" applyBorder="1" applyAlignment="1">
      <alignment wrapText="1"/>
    </xf>
    <xf numFmtId="0" fontId="3" fillId="0" borderId="9" xfId="0" applyFont="1" applyBorder="1" applyAlignment="1">
      <alignment horizontal="center" vertical="center"/>
    </xf>
    <xf numFmtId="3" fontId="3" fillId="0" borderId="0" xfId="0" applyNumberFormat="1" applyFont="1" applyAlignment="1">
      <alignment wrapText="1"/>
    </xf>
    <xf numFmtId="0" fontId="2" fillId="0" borderId="1" xfId="0" applyFont="1" applyBorder="1" applyAlignment="1">
      <alignment wrapText="1"/>
    </xf>
    <xf numFmtId="3" fontId="9" fillId="0" borderId="1" xfId="0" applyNumberFormat="1" applyFont="1" applyBorder="1" applyAlignment="1">
      <alignment horizontal="right"/>
    </xf>
    <xf numFmtId="3" fontId="3" fillId="0" borderId="1" xfId="0" applyNumberFormat="1" applyFont="1" applyBorder="1" applyAlignment="1">
      <alignment horizontal="right" vertical="top" wrapText="1"/>
    </xf>
    <xf numFmtId="4" fontId="3" fillId="0" borderId="1" xfId="0" applyNumberFormat="1" applyFont="1" applyBorder="1" applyAlignment="1">
      <alignment horizontal="center" vertical="top" wrapText="1"/>
    </xf>
    <xf numFmtId="3" fontId="5" fillId="0" borderId="1" xfId="0" applyNumberFormat="1" applyFont="1" applyBorder="1" applyAlignment="1">
      <alignment horizontal="right"/>
    </xf>
    <xf numFmtId="3" fontId="10" fillId="0" borderId="1" xfId="0" applyNumberFormat="1" applyFont="1" applyBorder="1" applyAlignment="1">
      <alignment horizontal="right"/>
    </xf>
    <xf numFmtId="3" fontId="0" fillId="0" borderId="1" xfId="0" applyNumberFormat="1" applyBorder="1" applyAlignment="1">
      <alignment horizontal="right"/>
    </xf>
    <xf numFmtId="0" fontId="2" fillId="4" borderId="1"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2" fillId="0" borderId="1" xfId="0" applyFont="1" applyBorder="1" applyAlignment="1">
      <alignment horizontal="right" wrapText="1"/>
    </xf>
    <xf numFmtId="0" fontId="0" fillId="0" borderId="0" xfId="0" quotePrefix="1" applyAlignment="1">
      <alignment horizontal="right"/>
    </xf>
    <xf numFmtId="3" fontId="0" fillId="0" borderId="0" xfId="0" applyNumberFormat="1" applyAlignment="1">
      <alignment horizontal="right"/>
    </xf>
    <xf numFmtId="2" fontId="0" fillId="0" borderId="0" xfId="0" applyNumberFormat="1"/>
    <xf numFmtId="0" fontId="15" fillId="0" borderId="14" xfId="0" applyFont="1" applyBorder="1" applyAlignment="1">
      <alignment horizontal="center" wrapText="1"/>
    </xf>
    <xf numFmtId="0" fontId="15" fillId="0" borderId="0" xfId="0" applyFont="1" applyAlignment="1">
      <alignment horizontal="right" vertical="center" wrapText="1"/>
    </xf>
    <xf numFmtId="0" fontId="15" fillId="0" borderId="8" xfId="0" applyFont="1" applyBorder="1" applyAlignment="1">
      <alignment vertical="center" wrapText="1"/>
    </xf>
    <xf numFmtId="165" fontId="25" fillId="0" borderId="0" xfId="31" applyNumberFormat="1" applyFont="1" applyAlignment="1">
      <alignment horizontal="right" vertical="top"/>
    </xf>
    <xf numFmtId="165" fontId="25" fillId="0" borderId="0" xfId="32" applyNumberFormat="1" applyFont="1" applyAlignment="1">
      <alignment horizontal="right" vertical="top"/>
    </xf>
    <xf numFmtId="165" fontId="25" fillId="0" borderId="0" xfId="33" applyNumberFormat="1" applyFont="1" applyAlignment="1">
      <alignment horizontal="right" vertical="top"/>
    </xf>
    <xf numFmtId="165" fontId="25" fillId="0" borderId="14" xfId="34" applyNumberFormat="1" applyFont="1" applyBorder="1" applyAlignment="1">
      <alignment horizontal="right" vertical="top"/>
    </xf>
    <xf numFmtId="0" fontId="14" fillId="0" borderId="8" xfId="0" applyFont="1" applyBorder="1" applyAlignment="1">
      <alignment vertical="center" wrapText="1"/>
    </xf>
    <xf numFmtId="0" fontId="14" fillId="0" borderId="0" xfId="0" applyFont="1" applyAlignment="1">
      <alignment horizontal="right" vertical="center" wrapText="1"/>
    </xf>
    <xf numFmtId="0" fontId="15" fillId="0" borderId="15" xfId="0" applyFont="1" applyBorder="1" applyAlignment="1">
      <alignment vertical="center"/>
    </xf>
    <xf numFmtId="166" fontId="25" fillId="0" borderId="6" xfId="39" applyNumberFormat="1" applyFont="1" applyBorder="1" applyAlignment="1">
      <alignment horizontal="right" vertical="top"/>
    </xf>
    <xf numFmtId="166" fontId="25" fillId="0" borderId="6" xfId="40" applyNumberFormat="1" applyFont="1" applyBorder="1" applyAlignment="1">
      <alignment horizontal="right" vertical="top"/>
    </xf>
    <xf numFmtId="166" fontId="25" fillId="0" borderId="6" xfId="41" applyNumberFormat="1" applyFont="1" applyBorder="1" applyAlignment="1">
      <alignment horizontal="right" vertical="top"/>
    </xf>
    <xf numFmtId="0" fontId="15" fillId="0" borderId="6" xfId="0" applyFont="1" applyBorder="1" applyAlignment="1">
      <alignment horizontal="right" vertical="center" wrapText="1"/>
    </xf>
    <xf numFmtId="166" fontId="25" fillId="0" borderId="7" xfId="42" applyNumberFormat="1" applyFont="1" applyBorder="1" applyAlignment="1">
      <alignment horizontal="right" vertical="top"/>
    </xf>
    <xf numFmtId="0" fontId="0" fillId="0" borderId="5" xfId="0" applyBorder="1" applyAlignment="1">
      <alignment horizontal="left"/>
    </xf>
    <xf numFmtId="0" fontId="5" fillId="0" borderId="0" xfId="0" applyFont="1"/>
    <xf numFmtId="0" fontId="35" fillId="0" borderId="0" xfId="0" applyFont="1"/>
    <xf numFmtId="170" fontId="13" fillId="15" borderId="1" xfId="25" applyNumberFormat="1" applyFont="1" applyFill="1" applyBorder="1" applyAlignment="1">
      <alignment vertical="center"/>
    </xf>
    <xf numFmtId="0" fontId="2" fillId="0" borderId="1" xfId="0" applyFont="1" applyBorder="1" applyAlignment="1">
      <alignment vertical="center" wrapText="1"/>
    </xf>
    <xf numFmtId="0" fontId="37" fillId="0" borderId="0" xfId="1" applyFont="1" applyAlignment="1" applyProtection="1">
      <alignment horizontal="left"/>
    </xf>
    <xf numFmtId="0" fontId="5" fillId="0" borderId="1" xfId="0" applyFont="1" applyBorder="1" applyAlignment="1">
      <alignment horizontal="right"/>
    </xf>
    <xf numFmtId="0" fontId="20" fillId="0" borderId="1" xfId="0" applyFont="1" applyBorder="1" applyAlignment="1">
      <alignment horizontal="right" wrapText="1"/>
    </xf>
    <xf numFmtId="0" fontId="7" fillId="0" borderId="0" xfId="1" applyAlignment="1" applyProtection="1">
      <alignment horizontal="left" indent="5"/>
    </xf>
    <xf numFmtId="0" fontId="0" fillId="3" borderId="0" xfId="0" applyFill="1"/>
    <xf numFmtId="0" fontId="5" fillId="0" borderId="11" xfId="0" applyFont="1" applyBorder="1"/>
    <xf numFmtId="0" fontId="0" fillId="0" borderId="1" xfId="0" applyBorder="1" applyAlignment="1">
      <alignment horizontal="left" wrapText="1"/>
    </xf>
    <xf numFmtId="0" fontId="0" fillId="0" borderId="0" xfId="0" applyAlignment="1">
      <alignment horizontal="left" wrapText="1"/>
    </xf>
    <xf numFmtId="0" fontId="0" fillId="4" borderId="1" xfId="0" applyFill="1" applyBorder="1" applyAlignment="1">
      <alignment horizontal="center"/>
    </xf>
    <xf numFmtId="0" fontId="0" fillId="0" borderId="1" xfId="0" applyBorder="1" applyAlignment="1">
      <alignment horizontal="center" vertical="center"/>
    </xf>
    <xf numFmtId="0" fontId="15" fillId="0" borderId="11" xfId="0" applyFont="1" applyBorder="1" applyAlignment="1">
      <alignment horizontal="center" wrapText="1"/>
    </xf>
    <xf numFmtId="0" fontId="15" fillId="0" borderId="0" xfId="0" applyFont="1" applyAlignment="1">
      <alignment horizontal="center" wrapText="1"/>
    </xf>
    <xf numFmtId="0" fontId="34" fillId="0" borderId="3" xfId="0" applyFont="1" applyBorder="1" applyAlignment="1">
      <alignment horizontal="center" wrapText="1"/>
    </xf>
    <xf numFmtId="0" fontId="0" fillId="0" borderId="0" xfId="0" applyAlignment="1">
      <alignment horizontal="left" vertical="top" wrapText="1"/>
    </xf>
    <xf numFmtId="0" fontId="20" fillId="0" borderId="1" xfId="0" applyFont="1" applyBorder="1"/>
    <xf numFmtId="0" fontId="20" fillId="0" borderId="1" xfId="0" applyFont="1" applyBorder="1" applyAlignment="1">
      <alignment horizontal="center" vertical="center"/>
    </xf>
    <xf numFmtId="0" fontId="20" fillId="0" borderId="1" xfId="0" applyFont="1" applyBorder="1" applyAlignment="1">
      <alignment vertical="center"/>
    </xf>
    <xf numFmtId="0" fontId="21" fillId="9" borderId="1" xfId="0" applyFont="1" applyFill="1" applyBorder="1"/>
    <xf numFmtId="0" fontId="21" fillId="9" borderId="1" xfId="0" applyFont="1" applyFill="1" applyBorder="1" applyAlignment="1">
      <alignment horizontal="center" vertical="center"/>
    </xf>
    <xf numFmtId="0" fontId="21" fillId="9" borderId="1" xfId="0" applyFont="1" applyFill="1" applyBorder="1" applyAlignment="1">
      <alignment vertical="center" wrapText="1"/>
    </xf>
    <xf numFmtId="0" fontId="20" fillId="8" borderId="1" xfId="0" applyFont="1" applyFill="1" applyBorder="1"/>
    <xf numFmtId="0" fontId="20" fillId="8" borderId="1" xfId="0" applyFont="1" applyFill="1" applyBorder="1" applyAlignment="1">
      <alignment horizontal="center" vertical="center"/>
    </xf>
    <xf numFmtId="0" fontId="20" fillId="8"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38" fillId="0" borderId="1" xfId="1" applyFont="1" applyBorder="1" applyAlignment="1" applyProtection="1">
      <alignment horizontal="center" vertical="center" wrapText="1"/>
    </xf>
    <xf numFmtId="0" fontId="20" fillId="0" borderId="1" xfId="0" applyFont="1" applyBorder="1" applyAlignment="1">
      <alignment wrapText="1"/>
    </xf>
    <xf numFmtId="0" fontId="21" fillId="18" borderId="1" xfId="0" applyFont="1" applyFill="1" applyBorder="1" applyAlignment="1">
      <alignment horizontal="center" vertical="center"/>
    </xf>
    <xf numFmtId="0" fontId="20" fillId="0" borderId="1" xfId="0" applyFont="1" applyBorder="1" applyAlignment="1">
      <alignment horizontal="left" wrapText="1"/>
    </xf>
    <xf numFmtId="0" fontId="39" fillId="0" borderId="0" xfId="1" applyFont="1" applyAlignment="1" applyProtection="1">
      <alignment horizontal="left" vertical="top" wrapText="1"/>
    </xf>
    <xf numFmtId="0" fontId="39" fillId="0" borderId="0" xfId="1" applyFont="1" applyAlignment="1" applyProtection="1">
      <alignment wrapText="1"/>
    </xf>
    <xf numFmtId="43" fontId="20" fillId="0" borderId="1" xfId="25" applyFont="1" applyBorder="1" applyAlignment="1">
      <alignment horizontal="center" vertical="center" wrapText="1"/>
    </xf>
    <xf numFmtId="0" fontId="41" fillId="0" borderId="0" xfId="1" applyFont="1" applyAlignment="1" applyProtection="1">
      <alignment wrapText="1"/>
    </xf>
    <xf numFmtId="0" fontId="39" fillId="0" borderId="1" xfId="1" applyFont="1" applyBorder="1" applyAlignment="1" applyProtection="1">
      <alignment wrapText="1"/>
    </xf>
    <xf numFmtId="0" fontId="5" fillId="0" borderId="0" xfId="0" applyFont="1" applyAlignment="1">
      <alignment vertical="top" wrapText="1"/>
    </xf>
    <xf numFmtId="0" fontId="9" fillId="0" borderId="0" xfId="0" applyFont="1"/>
    <xf numFmtId="0" fontId="21" fillId="0" borderId="1" xfId="0" applyFont="1" applyBorder="1" applyAlignment="1">
      <alignment horizontal="center" vertical="top" wrapText="1"/>
    </xf>
    <xf numFmtId="0" fontId="21" fillId="0" borderId="1" xfId="0" applyFont="1" applyBorder="1" applyAlignment="1">
      <alignment horizontal="left"/>
    </xf>
    <xf numFmtId="0" fontId="21" fillId="0" borderId="1" xfId="0" applyFont="1" applyBorder="1" applyAlignment="1">
      <alignment horizontal="justify" vertical="top" wrapText="1"/>
    </xf>
    <xf numFmtId="0" fontId="20" fillId="0" borderId="1" xfId="0" applyFont="1" applyBorder="1" applyAlignment="1">
      <alignment horizontal="center" wrapText="1"/>
    </xf>
    <xf numFmtId="167" fontId="20" fillId="0" borderId="0" xfId="25" applyNumberFormat="1" applyFont="1" applyFill="1" applyBorder="1"/>
    <xf numFmtId="164" fontId="20" fillId="0" borderId="1" xfId="0" applyNumberFormat="1" applyFont="1" applyBorder="1" applyAlignment="1">
      <alignment horizontal="center" wrapText="1"/>
    </xf>
    <xf numFmtId="0" fontId="21" fillId="0" borderId="1" xfId="0" applyFont="1" applyBorder="1" applyAlignment="1">
      <alignment horizontal="left" wrapText="1"/>
    </xf>
    <xf numFmtId="0" fontId="20" fillId="0" borderId="0" xfId="0" applyFont="1"/>
    <xf numFmtId="0" fontId="38" fillId="0" borderId="0" xfId="1" applyFont="1" applyAlignment="1" applyProtection="1"/>
    <xf numFmtId="0" fontId="21" fillId="0" borderId="0" xfId="0" applyFont="1" applyAlignment="1">
      <alignment horizontal="justify" vertical="top" wrapText="1"/>
    </xf>
    <xf numFmtId="0" fontId="20" fillId="0" borderId="0" xfId="0" applyFont="1" applyAlignment="1">
      <alignment vertical="top"/>
    </xf>
    <xf numFmtId="0" fontId="17" fillId="0" borderId="0" xfId="1" applyFont="1" applyFill="1" applyBorder="1" applyAlignment="1" applyProtection="1">
      <alignment horizontal="left"/>
    </xf>
    <xf numFmtId="0" fontId="9" fillId="0" borderId="0" xfId="0" applyFont="1" applyAlignment="1">
      <alignment vertical="top" wrapText="1"/>
    </xf>
    <xf numFmtId="0" fontId="21" fillId="0" borderId="1" xfId="0" applyFont="1" applyBorder="1" applyAlignment="1">
      <alignment horizontal="center"/>
    </xf>
    <xf numFmtId="167" fontId="20" fillId="0" borderId="1" xfId="25" applyNumberFormat="1" applyFont="1" applyBorder="1" applyAlignment="1">
      <alignment horizontal="center"/>
    </xf>
    <xf numFmtId="167" fontId="20" fillId="0" borderId="1" xfId="25" applyNumberFormat="1" applyFont="1" applyFill="1" applyBorder="1" applyAlignment="1">
      <alignment horizontal="center"/>
    </xf>
    <xf numFmtId="167" fontId="21" fillId="0" borderId="1" xfId="25" applyNumberFormat="1" applyFont="1" applyFill="1" applyBorder="1" applyAlignment="1">
      <alignment horizontal="center"/>
    </xf>
    <xf numFmtId="168" fontId="20" fillId="0" borderId="1" xfId="25" applyNumberFormat="1" applyFont="1" applyBorder="1" applyAlignment="1">
      <alignment horizontal="center"/>
    </xf>
    <xf numFmtId="0" fontId="21" fillId="0" borderId="0" xfId="0" applyFont="1"/>
    <xf numFmtId="0" fontId="21" fillId="2" borderId="5" xfId="0" applyFont="1" applyFill="1" applyBorder="1" applyAlignment="1">
      <alignment vertical="top" wrapText="1"/>
    </xf>
    <xf numFmtId="0" fontId="21" fillId="2" borderId="5" xfId="0" applyFont="1" applyFill="1" applyBorder="1" applyAlignment="1">
      <alignment wrapText="1"/>
    </xf>
    <xf numFmtId="0" fontId="21" fillId="2" borderId="5" xfId="0" applyFont="1" applyFill="1" applyBorder="1" applyAlignment="1">
      <alignment horizontal="center" vertical="center" wrapText="1"/>
    </xf>
    <xf numFmtId="0" fontId="12" fillId="0" borderId="1" xfId="0" applyFont="1" applyBorder="1" applyAlignment="1">
      <alignment wrapText="1"/>
    </xf>
    <xf numFmtId="0" fontId="20" fillId="0" borderId="1" xfId="0" applyFont="1" applyBorder="1" applyAlignment="1">
      <alignment horizontal="justify" vertical="top" wrapText="1"/>
    </xf>
    <xf numFmtId="0" fontId="21" fillId="0" borderId="0" xfId="0" applyFont="1" applyAlignment="1">
      <alignment horizontal="center"/>
    </xf>
    <xf numFmtId="0" fontId="12" fillId="12" borderId="1" xfId="0" applyFont="1" applyFill="1" applyBorder="1"/>
    <xf numFmtId="167" fontId="12" fillId="0" borderId="1" xfId="25" applyNumberFormat="1" applyFont="1" applyFill="1" applyBorder="1"/>
    <xf numFmtId="164" fontId="12" fillId="0" borderId="1" xfId="0" applyNumberFormat="1" applyFont="1" applyBorder="1"/>
    <xf numFmtId="0" fontId="12" fillId="0" borderId="8" xfId="0" applyFont="1" applyBorder="1"/>
    <xf numFmtId="43" fontId="12" fillId="0" borderId="0" xfId="0" applyNumberFormat="1" applyFont="1"/>
    <xf numFmtId="0" fontId="20" fillId="0" borderId="0" xfId="0" applyFont="1" applyAlignment="1">
      <alignment horizontal="justify" vertical="top" wrapText="1"/>
    </xf>
    <xf numFmtId="0" fontId="12" fillId="0" borderId="11" xfId="0" applyFont="1" applyBorder="1"/>
    <xf numFmtId="0" fontId="39" fillId="0" borderId="0" xfId="1" applyFont="1" applyAlignment="1" applyProtection="1"/>
    <xf numFmtId="0" fontId="5" fillId="4" borderId="1" xfId="0" applyFont="1" applyFill="1" applyBorder="1" applyAlignment="1">
      <alignment vertical="top" wrapText="1"/>
    </xf>
    <xf numFmtId="0" fontId="5" fillId="4" borderId="1" xfId="0" applyFont="1" applyFill="1" applyBorder="1" applyAlignment="1">
      <alignment horizontal="center" vertical="center" wrapText="1"/>
    </xf>
    <xf numFmtId="0" fontId="5" fillId="4" borderId="1" xfId="0" applyFont="1" applyFill="1" applyBorder="1" applyAlignment="1">
      <alignment wrapText="1"/>
    </xf>
    <xf numFmtId="0" fontId="5" fillId="0" borderId="1" xfId="0" applyFont="1" applyBorder="1" applyAlignment="1">
      <alignment horizontal="center"/>
    </xf>
    <xf numFmtId="0" fontId="5" fillId="0" borderId="1" xfId="0" quotePrefix="1" applyFont="1" applyBorder="1" applyAlignment="1">
      <alignment horizontal="right"/>
    </xf>
    <xf numFmtId="0" fontId="5" fillId="0" borderId="0" xfId="0" applyFont="1" applyAlignment="1">
      <alignment wrapText="1"/>
    </xf>
    <xf numFmtId="0" fontId="5" fillId="0" borderId="10" xfId="0" applyFont="1" applyBorder="1"/>
    <xf numFmtId="0" fontId="44" fillId="0" borderId="11" xfId="0" applyFont="1" applyBorder="1"/>
    <xf numFmtId="0" fontId="20" fillId="0" borderId="1" xfId="0" applyFont="1" applyBorder="1" applyAlignment="1">
      <alignment horizontal="center"/>
    </xf>
    <xf numFmtId="4" fontId="20" fillId="0" borderId="1" xfId="0" applyNumberFormat="1" applyFont="1" applyBorder="1" applyAlignment="1">
      <alignment horizontal="center"/>
    </xf>
    <xf numFmtId="0" fontId="13" fillId="17" borderId="1" xfId="0" applyFont="1" applyFill="1" applyBorder="1" applyAlignment="1">
      <alignment horizontal="left" vertical="center" wrapText="1" indent="1"/>
    </xf>
    <xf numFmtId="0" fontId="21"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21" fillId="2" borderId="1" xfId="0" applyFont="1" applyFill="1" applyBorder="1" applyAlignment="1">
      <alignment horizontal="justify" vertical="top" wrapText="1"/>
    </xf>
    <xf numFmtId="0" fontId="21"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3" fontId="9" fillId="0" borderId="1" xfId="0" applyNumberFormat="1" applyFont="1" applyBorder="1" applyAlignment="1">
      <alignment horizontal="center" vertical="top" wrapText="1"/>
    </xf>
    <xf numFmtId="3" fontId="9" fillId="0" borderId="1" xfId="0" applyNumberFormat="1" applyFont="1" applyBorder="1" applyAlignment="1">
      <alignment horizontal="center" vertical="top"/>
    </xf>
    <xf numFmtId="0" fontId="46" fillId="0" borderId="0" xfId="0" applyFont="1" applyAlignment="1">
      <alignment horizontal="justify"/>
    </xf>
    <xf numFmtId="0" fontId="45" fillId="0" borderId="0" xfId="0" applyFont="1"/>
    <xf numFmtId="0" fontId="13" fillId="0" borderId="0" xfId="0" applyFont="1"/>
    <xf numFmtId="0" fontId="11" fillId="4" borderId="1" xfId="0" applyFont="1" applyFill="1" applyBorder="1" applyAlignment="1">
      <alignment horizontal="center" wrapText="1"/>
    </xf>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0" xfId="0" applyFont="1" applyAlignment="1">
      <alignment horizontal="center" wrapText="1"/>
    </xf>
    <xf numFmtId="0" fontId="9" fillId="0" borderId="1" xfId="0" applyFont="1" applyBorder="1" applyAlignment="1">
      <alignment horizontal="center" wrapText="1"/>
    </xf>
    <xf numFmtId="0" fontId="9" fillId="0" borderId="1" xfId="0" applyFont="1" applyBorder="1" applyAlignment="1">
      <alignment horizontal="right" wrapText="1"/>
    </xf>
    <xf numFmtId="3" fontId="9" fillId="0" borderId="1" xfId="0" applyNumberFormat="1" applyFont="1" applyBorder="1" applyAlignment="1">
      <alignment horizontal="right" wrapText="1"/>
    </xf>
    <xf numFmtId="4" fontId="9" fillId="0" borderId="1" xfId="0" applyNumberFormat="1" applyFont="1" applyBorder="1" applyAlignment="1">
      <alignment horizontal="right" wrapText="1"/>
    </xf>
    <xf numFmtId="3" fontId="9" fillId="0" borderId="4" xfId="0" applyNumberFormat="1" applyFont="1" applyBorder="1" applyAlignment="1">
      <alignment horizontal="right" wrapText="1"/>
    </xf>
    <xf numFmtId="3" fontId="9" fillId="0" borderId="0" xfId="0" applyNumberFormat="1" applyFont="1" applyAlignment="1">
      <alignment horizontal="right" wrapText="1"/>
    </xf>
    <xf numFmtId="4" fontId="9" fillId="0" borderId="1" xfId="0" applyNumberFormat="1" applyFont="1" applyBorder="1" applyAlignment="1">
      <alignment horizontal="center" wrapText="1"/>
    </xf>
    <xf numFmtId="2" fontId="9" fillId="0" borderId="1" xfId="0" applyNumberFormat="1" applyFont="1" applyBorder="1" applyAlignment="1">
      <alignment horizontal="right" wrapText="1"/>
    </xf>
    <xf numFmtId="0" fontId="9" fillId="0" borderId="0" xfId="0" applyFont="1" applyAlignment="1">
      <alignment horizontal="right" wrapText="1"/>
    </xf>
    <xf numFmtId="0" fontId="9" fillId="0" borderId="4" xfId="0" applyFont="1" applyBorder="1" applyAlignment="1">
      <alignment horizontal="right" wrapText="1"/>
    </xf>
    <xf numFmtId="0" fontId="11" fillId="0" borderId="1" xfId="0" applyFont="1" applyBorder="1" applyAlignment="1">
      <alignment horizontal="center" wrapText="1"/>
    </xf>
    <xf numFmtId="0" fontId="11" fillId="0" borderId="1" xfId="0" applyFont="1" applyBorder="1" applyAlignment="1">
      <alignment horizontal="right" wrapText="1"/>
    </xf>
    <xf numFmtId="0" fontId="12" fillId="0" borderId="1" xfId="0" applyFont="1" applyBorder="1" applyAlignment="1">
      <alignment horizontal="right"/>
    </xf>
    <xf numFmtId="3" fontId="11" fillId="0" borderId="1" xfId="0" applyNumberFormat="1" applyFont="1" applyBorder="1" applyAlignment="1">
      <alignment horizontal="right" wrapText="1"/>
    </xf>
    <xf numFmtId="4" fontId="11" fillId="0" borderId="1" xfId="0" applyNumberFormat="1" applyFont="1" applyBorder="1" applyAlignment="1">
      <alignment horizontal="right" wrapText="1"/>
    </xf>
    <xf numFmtId="3" fontId="11" fillId="0" borderId="4" xfId="0" applyNumberFormat="1" applyFont="1" applyBorder="1" applyAlignment="1">
      <alignment horizontal="right" wrapText="1"/>
    </xf>
    <xf numFmtId="3" fontId="11" fillId="0" borderId="0" xfId="0" applyNumberFormat="1" applyFont="1" applyAlignment="1">
      <alignment horizontal="right" wrapText="1"/>
    </xf>
    <xf numFmtId="4" fontId="9" fillId="0" borderId="1" xfId="0" applyNumberFormat="1" applyFont="1" applyBorder="1" applyAlignment="1">
      <alignment horizontal="center" vertical="center"/>
    </xf>
    <xf numFmtId="0" fontId="40" fillId="0" borderId="0" xfId="0" applyFont="1"/>
    <xf numFmtId="0" fontId="11" fillId="0" borderId="1" xfId="0" applyFont="1" applyBorder="1" applyAlignment="1">
      <alignment horizontal="right"/>
    </xf>
    <xf numFmtId="2" fontId="11" fillId="0" borderId="1" xfId="0" applyNumberFormat="1" applyFont="1" applyBorder="1" applyAlignment="1">
      <alignment horizontal="right" wrapText="1"/>
    </xf>
    <xf numFmtId="0" fontId="40" fillId="0" borderId="0" xfId="0" applyFont="1" applyAlignment="1">
      <alignment horizontal="center"/>
    </xf>
    <xf numFmtId="0" fontId="47" fillId="0" borderId="0" xfId="0" applyFont="1"/>
    <xf numFmtId="0" fontId="45" fillId="0" borderId="0" xfId="0" applyFont="1" applyAlignment="1">
      <alignment horizontal="left"/>
    </xf>
    <xf numFmtId="0" fontId="11" fillId="4" borderId="1" xfId="0" applyFont="1" applyFill="1" applyBorder="1" applyAlignment="1">
      <alignment horizontal="center"/>
    </xf>
    <xf numFmtId="0" fontId="11" fillId="4" borderId="2" xfId="0" applyFont="1" applyFill="1" applyBorder="1" applyAlignment="1">
      <alignment horizontal="center" wrapText="1"/>
    </xf>
    <xf numFmtId="0" fontId="11" fillId="4" borderId="4" xfId="0" applyFont="1" applyFill="1" applyBorder="1" applyAlignment="1">
      <alignment horizontal="center" wrapText="1"/>
    </xf>
    <xf numFmtId="3" fontId="9" fillId="0" borderId="2" xfId="0" applyNumberFormat="1" applyFont="1" applyBorder="1" applyAlignment="1">
      <alignment horizontal="right" wrapText="1"/>
    </xf>
    <xf numFmtId="3" fontId="9" fillId="0" borderId="10" xfId="0" applyNumberFormat="1" applyFont="1" applyBorder="1" applyAlignment="1">
      <alignment horizontal="right" wrapText="1"/>
    </xf>
    <xf numFmtId="3" fontId="11" fillId="0" borderId="2" xfId="0" applyNumberFormat="1" applyFont="1" applyBorder="1" applyAlignment="1">
      <alignment horizontal="right" wrapText="1"/>
    </xf>
    <xf numFmtId="0" fontId="11" fillId="0" borderId="0" xfId="0" applyFont="1"/>
    <xf numFmtId="0" fontId="21" fillId="4" borderId="1" xfId="0" applyFont="1" applyFill="1" applyBorder="1" applyAlignment="1">
      <alignment horizontal="center" vertical="center"/>
    </xf>
    <xf numFmtId="0" fontId="21" fillId="4" borderId="1" xfId="0" applyFont="1" applyFill="1" applyBorder="1" applyAlignment="1">
      <alignment horizontal="center"/>
    </xf>
    <xf numFmtId="0" fontId="20" fillId="0" borderId="0" xfId="0" applyFont="1" applyAlignment="1">
      <alignment horizontal="center" vertical="center"/>
    </xf>
    <xf numFmtId="3" fontId="20" fillId="0" borderId="1" xfId="0" applyNumberFormat="1" applyFont="1" applyBorder="1" applyAlignment="1">
      <alignment horizontal="center"/>
    </xf>
    <xf numFmtId="0" fontId="20" fillId="0" borderId="0" xfId="0" applyFont="1" applyAlignment="1">
      <alignment horizontal="center" vertical="center" wrapText="1"/>
    </xf>
    <xf numFmtId="0" fontId="20" fillId="0" borderId="1"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wrapText="1"/>
    </xf>
    <xf numFmtId="0" fontId="45" fillId="4" borderId="1" xfId="0" applyFont="1" applyFill="1" applyBorder="1"/>
    <xf numFmtId="0" fontId="12" fillId="4" borderId="1" xfId="0" applyFont="1" applyFill="1" applyBorder="1"/>
    <xf numFmtId="0" fontId="12" fillId="4" borderId="1" xfId="0" applyFont="1" applyFill="1" applyBorder="1" applyAlignment="1">
      <alignment wrapText="1"/>
    </xf>
    <xf numFmtId="0" fontId="45" fillId="0" borderId="1" xfId="0" applyFont="1" applyBorder="1"/>
    <xf numFmtId="16" fontId="12" fillId="0" borderId="1" xfId="0" quotePrefix="1" applyNumberFormat="1" applyFont="1" applyBorder="1"/>
    <xf numFmtId="0" fontId="12" fillId="0" borderId="1" xfId="0" quotePrefix="1" applyFont="1" applyBorder="1"/>
    <xf numFmtId="0" fontId="45" fillId="0" borderId="1" xfId="0" applyFont="1" applyBorder="1" applyAlignment="1">
      <alignment wrapText="1"/>
    </xf>
    <xf numFmtId="0" fontId="13" fillId="21" borderId="1" xfId="0" applyFont="1" applyFill="1" applyBorder="1" applyAlignment="1">
      <alignment horizontal="center"/>
    </xf>
    <xf numFmtId="0" fontId="13" fillId="21" borderId="1" xfId="0" applyFont="1" applyFill="1" applyBorder="1"/>
    <xf numFmtId="49" fontId="13" fillId="21" borderId="1" xfId="0" applyNumberFormat="1" applyFont="1" applyFill="1" applyBorder="1" applyAlignment="1">
      <alignment horizontal="center"/>
    </xf>
    <xf numFmtId="0" fontId="12" fillId="21" borderId="1" xfId="0" applyFont="1" applyFill="1" applyBorder="1"/>
    <xf numFmtId="0" fontId="49" fillId="0" borderId="1" xfId="0" applyFont="1" applyBorder="1" applyAlignment="1">
      <alignment vertical="center" wrapText="1"/>
    </xf>
    <xf numFmtId="0" fontId="49" fillId="0" borderId="1" xfId="0" applyFont="1" applyBorder="1" applyAlignment="1">
      <alignment horizontal="right" vertical="center" wrapText="1"/>
    </xf>
    <xf numFmtId="0" fontId="12" fillId="0" borderId="1" xfId="0" applyFont="1" applyBorder="1" applyAlignment="1">
      <alignment horizontal="center"/>
    </xf>
    <xf numFmtId="164" fontId="49" fillId="0" borderId="1" xfId="0" applyNumberFormat="1" applyFont="1" applyBorder="1" applyAlignment="1">
      <alignment horizontal="right" vertical="center" wrapText="1"/>
    </xf>
    <xf numFmtId="0" fontId="11" fillId="0" borderId="0" xfId="0" applyFont="1" applyAlignment="1">
      <alignment horizontal="center"/>
    </xf>
    <xf numFmtId="0" fontId="20" fillId="2" borderId="1" xfId="0" applyFont="1" applyFill="1" applyBorder="1" applyAlignment="1">
      <alignment vertical="top" wrapText="1"/>
    </xf>
    <xf numFmtId="0" fontId="20" fillId="2" borderId="1" xfId="0" applyFont="1" applyFill="1" applyBorder="1" applyAlignment="1">
      <alignment horizontal="center" vertical="top" wrapText="1"/>
    </xf>
    <xf numFmtId="0" fontId="20" fillId="2" borderId="1" xfId="0" applyFont="1" applyFill="1" applyBorder="1" applyAlignment="1">
      <alignment horizontal="justify" vertical="top" wrapText="1"/>
    </xf>
    <xf numFmtId="0" fontId="20" fillId="4" borderId="1" xfId="0" applyFont="1" applyFill="1" applyBorder="1" applyAlignment="1">
      <alignment horizontal="justify" vertical="top" wrapText="1"/>
    </xf>
    <xf numFmtId="0" fontId="20" fillId="0" borderId="1" xfId="0" applyFont="1" applyBorder="1" applyAlignment="1">
      <alignment horizontal="right" vertical="top" wrapText="1"/>
    </xf>
    <xf numFmtId="2" fontId="20" fillId="0" borderId="1" xfId="0" applyNumberFormat="1" applyFont="1" applyBorder="1" applyAlignment="1">
      <alignment horizontal="right" vertical="top" wrapText="1"/>
    </xf>
    <xf numFmtId="0" fontId="12" fillId="0" borderId="1" xfId="0" applyFont="1" applyBorder="1" applyAlignment="1">
      <alignment horizontal="right" wrapText="1"/>
    </xf>
    <xf numFmtId="2" fontId="12" fillId="0" borderId="1" xfId="0" applyNumberFormat="1" applyFont="1" applyBorder="1"/>
    <xf numFmtId="2" fontId="9" fillId="0" borderId="1" xfId="0" applyNumberFormat="1" applyFont="1" applyBorder="1"/>
    <xf numFmtId="2" fontId="9" fillId="0" borderId="0" xfId="0" applyNumberFormat="1" applyFont="1"/>
    <xf numFmtId="0" fontId="11" fillId="0" borderId="1" xfId="0" applyFont="1" applyBorder="1" applyAlignment="1">
      <alignment vertical="center"/>
    </xf>
    <xf numFmtId="0" fontId="11" fillId="0" borderId="1" xfId="0" applyFont="1" applyBorder="1" applyAlignment="1">
      <alignment horizontal="center"/>
    </xf>
    <xf numFmtId="0" fontId="11" fillId="0" borderId="1" xfId="0" applyFont="1" applyBorder="1" applyAlignment="1">
      <alignment horizontal="center" vertical="center"/>
    </xf>
    <xf numFmtId="3" fontId="9" fillId="0" borderId="1" xfId="0" applyNumberFormat="1" applyFont="1" applyBorder="1" applyAlignment="1">
      <alignment horizontal="center"/>
    </xf>
    <xf numFmtId="9" fontId="9" fillId="0" borderId="1" xfId="26" applyFont="1" applyBorder="1" applyAlignment="1">
      <alignment horizontal="center"/>
    </xf>
    <xf numFmtId="0" fontId="11" fillId="0" borderId="1" xfId="0" applyFont="1" applyBorder="1"/>
    <xf numFmtId="3" fontId="11" fillId="0" borderId="1" xfId="0" applyNumberFormat="1" applyFont="1" applyBorder="1" applyAlignment="1">
      <alignment horizontal="center"/>
    </xf>
    <xf numFmtId="3" fontId="11" fillId="0" borderId="0" xfId="0" applyNumberFormat="1" applyFont="1" applyAlignment="1">
      <alignment horizontal="center"/>
    </xf>
    <xf numFmtId="9" fontId="9" fillId="0" borderId="0" xfId="26" applyFont="1" applyBorder="1" applyAlignment="1">
      <alignment horizontal="center"/>
    </xf>
    <xf numFmtId="0" fontId="21" fillId="4" borderId="1" xfId="0" applyFont="1" applyFill="1" applyBorder="1" applyAlignment="1">
      <alignment horizontal="center" vertical="top" wrapText="1"/>
    </xf>
    <xf numFmtId="0" fontId="21" fillId="4" borderId="1" xfId="0" applyFont="1" applyFill="1" applyBorder="1" applyAlignment="1">
      <alignment vertical="top" wrapText="1"/>
    </xf>
    <xf numFmtId="3" fontId="20" fillId="0" borderId="1" xfId="0" applyNumberFormat="1" applyFont="1" applyBorder="1" applyAlignment="1">
      <alignment horizontal="left" vertical="top" wrapText="1"/>
    </xf>
    <xf numFmtId="3" fontId="20" fillId="0" borderId="1" xfId="0" applyNumberFormat="1" applyFont="1" applyBorder="1" applyAlignment="1">
      <alignment horizontal="left"/>
    </xf>
    <xf numFmtId="17" fontId="11" fillId="0" borderId="1" xfId="0" applyNumberFormat="1" applyFont="1" applyBorder="1" applyAlignment="1">
      <alignment horizontal="center" wrapText="1"/>
    </xf>
    <xf numFmtId="3" fontId="49" fillId="0" borderId="1" xfId="0" applyNumberFormat="1" applyFont="1" applyBorder="1" applyAlignment="1">
      <alignment wrapText="1"/>
    </xf>
    <xf numFmtId="3" fontId="9" fillId="0" borderId="1" xfId="0" applyNumberFormat="1" applyFont="1" applyBorder="1" applyAlignment="1">
      <alignment wrapText="1"/>
    </xf>
    <xf numFmtId="0" fontId="49" fillId="0" borderId="1" xfId="0" applyFont="1" applyBorder="1" applyAlignment="1">
      <alignment wrapText="1"/>
    </xf>
    <xf numFmtId="3" fontId="46" fillId="0" borderId="1" xfId="0" applyNumberFormat="1" applyFont="1" applyBorder="1" applyAlignment="1">
      <alignment horizontal="center" wrapText="1"/>
    </xf>
    <xf numFmtId="3" fontId="11" fillId="0" borderId="1" xfId="0" applyNumberFormat="1" applyFont="1" applyBorder="1" applyAlignment="1">
      <alignment horizontal="center" wrapText="1"/>
    </xf>
    <xf numFmtId="3" fontId="11" fillId="0" borderId="1" xfId="0" applyNumberFormat="1" applyFont="1" applyBorder="1"/>
    <xf numFmtId="3" fontId="9" fillId="0" borderId="1" xfId="0" applyNumberFormat="1" applyFont="1" applyBorder="1"/>
    <xf numFmtId="3" fontId="21" fillId="0" borderId="1" xfId="0" applyNumberFormat="1" applyFont="1" applyBorder="1" applyAlignment="1">
      <alignment horizontal="center"/>
    </xf>
    <xf numFmtId="0" fontId="46" fillId="21" borderId="1" xfId="0" applyFont="1" applyFill="1" applyBorder="1" applyAlignment="1">
      <alignment vertical="center"/>
    </xf>
    <xf numFmtId="0" fontId="49" fillId="0" borderId="1" xfId="0" applyFont="1" applyBorder="1" applyAlignment="1">
      <alignment vertical="center"/>
    </xf>
    <xf numFmtId="0" fontId="46" fillId="0" borderId="1" xfId="0" applyFont="1" applyBorder="1" applyAlignment="1">
      <alignment vertical="center"/>
    </xf>
    <xf numFmtId="0" fontId="49" fillId="22" borderId="1" xfId="0" applyFont="1" applyFill="1" applyBorder="1" applyAlignment="1">
      <alignment vertical="center"/>
    </xf>
    <xf numFmtId="0" fontId="46" fillId="22" borderId="1" xfId="0" applyFont="1" applyFill="1" applyBorder="1" applyAlignment="1">
      <alignment vertical="center"/>
    </xf>
    <xf numFmtId="0" fontId="51" fillId="0" borderId="0" xfId="0" applyFont="1" applyAlignment="1">
      <alignment vertical="center"/>
    </xf>
    <xf numFmtId="0" fontId="12" fillId="0" borderId="0" xfId="0" applyFont="1" applyAlignment="1">
      <alignment wrapText="1"/>
    </xf>
    <xf numFmtId="0" fontId="20" fillId="15" borderId="1" xfId="0" applyFont="1" applyFill="1" applyBorder="1" applyAlignment="1">
      <alignment horizontal="center" vertical="center" wrapText="1"/>
    </xf>
    <xf numFmtId="1" fontId="20" fillId="0" borderId="1" xfId="0" applyNumberFormat="1" applyFont="1" applyBorder="1"/>
    <xf numFmtId="3" fontId="20" fillId="0" borderId="1" xfId="0" applyNumberFormat="1" applyFont="1" applyBorder="1" applyAlignment="1">
      <alignment horizontal="right" vertical="top" wrapText="1"/>
    </xf>
    <xf numFmtId="2" fontId="20" fillId="0" borderId="1" xfId="0" applyNumberFormat="1" applyFont="1" applyBorder="1"/>
    <xf numFmtId="1" fontId="20" fillId="0" borderId="1" xfId="0" applyNumberFormat="1" applyFont="1" applyBorder="1" applyAlignment="1">
      <alignment horizontal="right" vertical="top" wrapText="1"/>
    </xf>
    <xf numFmtId="0" fontId="45" fillId="0" borderId="0" xfId="0" applyFont="1" applyAlignment="1">
      <alignment horizontal="left" wrapText="1"/>
    </xf>
    <xf numFmtId="1" fontId="45" fillId="0" borderId="0" xfId="0" applyNumberFormat="1" applyFont="1"/>
    <xf numFmtId="1" fontId="45" fillId="0" borderId="0" xfId="0" applyNumberFormat="1" applyFont="1" applyAlignment="1">
      <alignment horizontal="right" vertical="top" wrapText="1"/>
    </xf>
    <xf numFmtId="2" fontId="45" fillId="0" borderId="0" xfId="0" applyNumberFormat="1" applyFont="1"/>
    <xf numFmtId="0" fontId="20" fillId="0" borderId="0" xfId="0" applyFont="1" applyAlignment="1">
      <alignment wrapText="1"/>
    </xf>
    <xf numFmtId="1" fontId="20" fillId="0" borderId="0" xfId="0" applyNumberFormat="1" applyFont="1"/>
    <xf numFmtId="1" fontId="20" fillId="0" borderId="0" xfId="0" applyNumberFormat="1" applyFont="1" applyAlignment="1">
      <alignment horizontal="right" vertical="top" wrapText="1"/>
    </xf>
    <xf numFmtId="2" fontId="20" fillId="0" borderId="0" xfId="0" applyNumberFormat="1" applyFont="1"/>
    <xf numFmtId="1" fontId="21" fillId="0" borderId="1" xfId="0" applyNumberFormat="1" applyFont="1" applyBorder="1" applyAlignment="1">
      <alignment horizontal="center"/>
    </xf>
    <xf numFmtId="1" fontId="20" fillId="0" borderId="1" xfId="0" applyNumberFormat="1" applyFont="1" applyBorder="1" applyAlignment="1">
      <alignment horizontal="center" wrapText="1"/>
    </xf>
    <xf numFmtId="1" fontId="9" fillId="0" borderId="1" xfId="0" applyNumberFormat="1" applyFont="1" applyBorder="1" applyAlignment="1">
      <alignment horizontal="center" wrapText="1"/>
    </xf>
    <xf numFmtId="0" fontId="12" fillId="0" borderId="0" xfId="0" applyFont="1" applyAlignment="1">
      <alignment horizontal="right"/>
    </xf>
    <xf numFmtId="0" fontId="9" fillId="0" borderId="1" xfId="0" applyFont="1" applyBorder="1" applyAlignment="1">
      <alignment horizontal="center"/>
    </xf>
    <xf numFmtId="0" fontId="46" fillId="14" borderId="1" xfId="0" applyFont="1" applyFill="1" applyBorder="1" applyAlignment="1">
      <alignment vertical="top"/>
    </xf>
    <xf numFmtId="0" fontId="49" fillId="0" borderId="1" xfId="0" applyFont="1" applyBorder="1" applyAlignment="1">
      <alignment vertical="top"/>
    </xf>
    <xf numFmtId="0" fontId="49" fillId="0" borderId="1" xfId="0" applyFont="1" applyBorder="1" applyAlignment="1">
      <alignment horizontal="right" vertical="top"/>
    </xf>
    <xf numFmtId="0" fontId="9" fillId="14" borderId="1" xfId="0" applyFont="1" applyFill="1" applyBorder="1" applyAlignment="1">
      <alignment vertical="top"/>
    </xf>
    <xf numFmtId="0" fontId="11" fillId="14" borderId="1" xfId="0" applyFont="1" applyFill="1" applyBorder="1" applyAlignment="1">
      <alignment vertical="center"/>
    </xf>
    <xf numFmtId="0" fontId="13" fillId="14" borderId="1" xfId="0" applyFont="1" applyFill="1" applyBorder="1" applyAlignment="1">
      <alignment vertical="center"/>
    </xf>
    <xf numFmtId="0" fontId="9" fillId="0" borderId="1" xfId="0" applyFont="1" applyBorder="1" applyAlignment="1">
      <alignment vertical="top"/>
    </xf>
    <xf numFmtId="0" fontId="9" fillId="17" borderId="1" xfId="0" applyFont="1" applyFill="1" applyBorder="1" applyAlignment="1">
      <alignment vertical="center"/>
    </xf>
    <xf numFmtId="0" fontId="11" fillId="17" borderId="1" xfId="0" applyFont="1" applyFill="1" applyBorder="1" applyAlignment="1">
      <alignment horizontal="center" vertical="center"/>
    </xf>
    <xf numFmtId="0" fontId="20" fillId="0" borderId="9" xfId="0" applyFont="1" applyBorder="1" applyAlignment="1">
      <alignment horizontal="left" vertical="center" wrapText="1"/>
    </xf>
    <xf numFmtId="0" fontId="9" fillId="0" borderId="1" xfId="0" applyFont="1" applyBorder="1" applyAlignment="1">
      <alignment horizontal="right"/>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0" borderId="0" xfId="0" applyFont="1" applyAlignment="1">
      <alignment horizontal="left" wrapText="1"/>
    </xf>
    <xf numFmtId="0" fontId="17" fillId="0" borderId="0" xfId="1" applyFont="1" applyAlignment="1" applyProtection="1">
      <alignment horizontal="left"/>
    </xf>
    <xf numFmtId="0" fontId="13" fillId="0" borderId="1" xfId="0" applyFont="1" applyBorder="1" applyAlignment="1">
      <alignment horizontal="right"/>
    </xf>
    <xf numFmtId="0" fontId="52" fillId="0" borderId="1" xfId="0" applyFont="1" applyBorder="1" applyAlignment="1">
      <alignment vertical="center" wrapText="1"/>
    </xf>
    <xf numFmtId="167" fontId="12" fillId="0" borderId="1" xfId="25" applyNumberFormat="1" applyFont="1" applyBorder="1"/>
    <xf numFmtId="3" fontId="12" fillId="0" borderId="1" xfId="0" applyNumberFormat="1" applyFont="1" applyBorder="1" applyAlignment="1">
      <alignment horizontal="right"/>
    </xf>
    <xf numFmtId="167" fontId="13" fillId="0" borderId="1" xfId="25" applyNumberFormat="1" applyFont="1" applyFill="1" applyBorder="1"/>
    <xf numFmtId="3" fontId="13" fillId="0" borderId="1" xfId="0" applyNumberFormat="1" applyFont="1" applyBorder="1" applyAlignment="1">
      <alignment horizontal="right"/>
    </xf>
    <xf numFmtId="167" fontId="13" fillId="0" borderId="1" xfId="25" applyNumberFormat="1" applyFont="1" applyBorder="1"/>
    <xf numFmtId="167" fontId="13" fillId="0" borderId="0" xfId="25" applyNumberFormat="1" applyFont="1" applyFill="1" applyBorder="1"/>
    <xf numFmtId="0" fontId="12" fillId="15" borderId="1" xfId="0" applyFont="1" applyFill="1" applyBorder="1" applyAlignment="1">
      <alignment vertical="center"/>
    </xf>
    <xf numFmtId="167" fontId="12" fillId="0" borderId="1" xfId="25" applyNumberFormat="1" applyFont="1" applyFill="1" applyBorder="1" applyAlignment="1">
      <alignment vertical="center" wrapText="1"/>
    </xf>
    <xf numFmtId="167" fontId="12" fillId="0" borderId="1" xfId="25" applyNumberFormat="1" applyFont="1" applyFill="1" applyBorder="1" applyAlignment="1">
      <alignment vertical="center"/>
    </xf>
    <xf numFmtId="0" fontId="12" fillId="0" borderId="1" xfId="0" applyFont="1" applyBorder="1" applyAlignment="1">
      <alignment vertical="center" wrapText="1"/>
    </xf>
    <xf numFmtId="3" fontId="12" fillId="0" borderId="1" xfId="0" applyNumberFormat="1" applyFont="1" applyBorder="1" applyAlignment="1">
      <alignment vertical="center"/>
    </xf>
    <xf numFmtId="164" fontId="12" fillId="0" borderId="1" xfId="0" applyNumberFormat="1" applyFont="1" applyBorder="1" applyAlignment="1">
      <alignment vertical="center"/>
    </xf>
    <xf numFmtId="0" fontId="9" fillId="0" borderId="9" xfId="0" applyFont="1" applyBorder="1"/>
    <xf numFmtId="0" fontId="53" fillId="0" borderId="1" xfId="0" applyFont="1" applyBorder="1" applyAlignment="1">
      <alignment wrapText="1"/>
    </xf>
    <xf numFmtId="0" fontId="51" fillId="0" borderId="1" xfId="0" applyFont="1" applyBorder="1" applyAlignment="1">
      <alignment wrapText="1"/>
    </xf>
    <xf numFmtId="0" fontId="51" fillId="0" borderId="1" xfId="0" applyFont="1" applyBorder="1" applyAlignment="1">
      <alignment vertical="top" wrapText="1"/>
    </xf>
    <xf numFmtId="0" fontId="9" fillId="0" borderId="0" xfId="0" applyFont="1" applyAlignment="1">
      <alignment horizontal="left"/>
    </xf>
    <xf numFmtId="0" fontId="20" fillId="0" borderId="6" xfId="0" applyFont="1" applyBorder="1" applyAlignment="1">
      <alignment horizontal="left" wrapText="1"/>
    </xf>
    <xf numFmtId="3" fontId="21" fillId="2" borderId="1" xfId="0" applyNumberFormat="1" applyFont="1" applyFill="1" applyBorder="1" applyAlignment="1">
      <alignment horizontal="center" vertical="top" wrapText="1"/>
    </xf>
    <xf numFmtId="0" fontId="49" fillId="0" borderId="1" xfId="0" applyFont="1" applyBorder="1" applyAlignment="1">
      <alignment horizontal="center" vertical="top" wrapText="1"/>
    </xf>
    <xf numFmtId="0" fontId="49" fillId="0" borderId="1" xfId="0" applyFont="1" applyBorder="1" applyAlignment="1">
      <alignment horizontal="left" vertical="top" wrapText="1"/>
    </xf>
    <xf numFmtId="3" fontId="20" fillId="0" borderId="1" xfId="0" applyNumberFormat="1" applyFont="1" applyBorder="1" applyAlignment="1">
      <alignment horizontal="right" wrapText="1"/>
    </xf>
    <xf numFmtId="0" fontId="55" fillId="0" borderId="1" xfId="0" applyFont="1" applyBorder="1" applyAlignment="1">
      <alignment wrapText="1"/>
    </xf>
    <xf numFmtId="0" fontId="21" fillId="6" borderId="1" xfId="0" applyFont="1" applyFill="1" applyBorder="1" applyAlignment="1">
      <alignment horizontal="left" wrapText="1" indent="1"/>
    </xf>
    <xf numFmtId="0" fontId="20" fillId="0" borderId="1" xfId="0" applyFont="1" applyBorder="1" applyAlignment="1">
      <alignment horizontal="justify" wrapText="1"/>
    </xf>
    <xf numFmtId="0" fontId="38" fillId="0" borderId="1" xfId="1" applyFont="1" applyBorder="1" applyAlignment="1" applyProtection="1">
      <alignment horizontal="justify" vertical="top" wrapText="1"/>
    </xf>
    <xf numFmtId="4" fontId="20" fillId="0" borderId="1" xfId="0" quotePrefix="1" applyNumberFormat="1" applyFont="1" applyBorder="1" applyAlignment="1">
      <alignment horizontal="right" vertical="top" wrapText="1"/>
    </xf>
    <xf numFmtId="0" fontId="56" fillId="0" borderId="1" xfId="0" applyFont="1" applyBorder="1" applyAlignment="1">
      <alignment wrapText="1"/>
    </xf>
    <xf numFmtId="0" fontId="21" fillId="7" borderId="1" xfId="0" applyFont="1" applyFill="1" applyBorder="1" applyAlignment="1">
      <alignment horizontal="left" vertical="top" wrapText="1" indent="1"/>
    </xf>
    <xf numFmtId="0" fontId="20" fillId="7" borderId="1" xfId="0" applyFont="1" applyFill="1" applyBorder="1" applyAlignment="1">
      <alignment horizontal="left" vertical="top" wrapText="1" indent="1"/>
    </xf>
    <xf numFmtId="0" fontId="21" fillId="0" borderId="1" xfId="0" applyFont="1" applyBorder="1" applyAlignment="1">
      <alignment horizontal="justify" wrapText="1"/>
    </xf>
    <xf numFmtId="0" fontId="57" fillId="0" borderId="1" xfId="0" applyFont="1" applyBorder="1" applyAlignment="1">
      <alignment wrapText="1"/>
    </xf>
    <xf numFmtId="4" fontId="20" fillId="0" borderId="1" xfId="0" applyNumberFormat="1" applyFont="1" applyBorder="1" applyAlignment="1">
      <alignment horizontal="right" vertical="top" wrapText="1"/>
    </xf>
    <xf numFmtId="0" fontId="21" fillId="5" borderId="1" xfId="0" applyFont="1" applyFill="1" applyBorder="1" applyAlignment="1">
      <alignment horizontal="left" vertical="top" wrapText="1" indent="1"/>
    </xf>
    <xf numFmtId="0" fontId="20" fillId="5" borderId="1" xfId="0" applyFont="1" applyFill="1" applyBorder="1" applyAlignment="1">
      <alignment horizontal="left" vertical="top" wrapText="1" indent="1"/>
    </xf>
    <xf numFmtId="0" fontId="9" fillId="0" borderId="1" xfId="0" applyFont="1" applyBorder="1" applyAlignment="1">
      <alignment horizontal="left" wrapText="1" indent="2"/>
    </xf>
    <xf numFmtId="0" fontId="55" fillId="0" borderId="1" xfId="0" applyFont="1" applyBorder="1" applyAlignment="1">
      <alignment horizontal="left" wrapText="1" indent="2"/>
    </xf>
    <xf numFmtId="0" fontId="56" fillId="0" borderId="1" xfId="0" applyFont="1" applyBorder="1" applyAlignment="1">
      <alignment horizontal="left" wrapText="1" indent="2"/>
    </xf>
    <xf numFmtId="0" fontId="38" fillId="0" borderId="1" xfId="1" applyFont="1" applyBorder="1" applyAlignment="1" applyProtection="1">
      <alignment horizontal="justify" wrapText="1"/>
    </xf>
    <xf numFmtId="0" fontId="57" fillId="0" borderId="1" xfId="0" applyFont="1" applyBorder="1" applyAlignment="1">
      <alignment horizontal="left" wrapText="1" indent="2"/>
    </xf>
    <xf numFmtId="3" fontId="21" fillId="0" borderId="1" xfId="0" applyNumberFormat="1" applyFont="1" applyBorder="1"/>
    <xf numFmtId="0" fontId="40" fillId="7" borderId="1" xfId="0" applyFont="1" applyFill="1" applyBorder="1" applyAlignment="1">
      <alignment horizontal="left" vertical="top" wrapText="1" indent="1"/>
    </xf>
    <xf numFmtId="0" fontId="11" fillId="20" borderId="8" xfId="0" applyFont="1" applyFill="1" applyBorder="1"/>
    <xf numFmtId="0" fontId="9" fillId="20" borderId="0" xfId="0" applyFont="1" applyFill="1"/>
    <xf numFmtId="0" fontId="9" fillId="20" borderId="14" xfId="0" applyFont="1" applyFill="1" applyBorder="1"/>
    <xf numFmtId="4" fontId="21" fillId="0" borderId="1" xfId="0" applyNumberFormat="1" applyFont="1" applyBorder="1" applyAlignment="1">
      <alignment horizontal="right" wrapText="1"/>
    </xf>
    <xf numFmtId="3" fontId="21" fillId="0" borderId="1" xfId="0" applyNumberFormat="1" applyFont="1" applyBorder="1" applyAlignment="1">
      <alignment horizontal="right" wrapText="1"/>
    </xf>
    <xf numFmtId="0" fontId="11" fillId="0" borderId="8" xfId="0" applyFont="1" applyBorder="1"/>
    <xf numFmtId="0" fontId="9" fillId="0" borderId="14" xfId="0" applyFont="1" applyBorder="1"/>
    <xf numFmtId="0" fontId="9" fillId="0" borderId="0" xfId="0" applyFont="1" applyAlignment="1">
      <alignment wrapText="1"/>
    </xf>
    <xf numFmtId="0" fontId="9" fillId="0" borderId="8" xfId="0" applyFont="1" applyBorder="1"/>
    <xf numFmtId="0" fontId="9" fillId="0" borderId="5" xfId="0" applyFont="1" applyBorder="1"/>
    <xf numFmtId="0" fontId="9" fillId="0" borderId="10" xfId="0" applyFont="1" applyBorder="1"/>
    <xf numFmtId="0" fontId="49" fillId="0" borderId="0" xfId="0" applyFont="1" applyAlignment="1">
      <alignment vertical="center"/>
    </xf>
    <xf numFmtId="0" fontId="9" fillId="0" borderId="14" xfId="0" applyFont="1" applyBorder="1" applyAlignment="1">
      <alignment wrapText="1"/>
    </xf>
    <xf numFmtId="0" fontId="46" fillId="0" borderId="1" xfId="0" applyFont="1" applyBorder="1" applyAlignment="1">
      <alignment horizontal="center" vertical="center"/>
    </xf>
    <xf numFmtId="3" fontId="21" fillId="2" borderId="2" xfId="0" applyNumberFormat="1" applyFont="1" applyFill="1" applyBorder="1" applyAlignment="1">
      <alignment vertical="top" wrapText="1"/>
    </xf>
    <xf numFmtId="3" fontId="21" fillId="2" borderId="3" xfId="0" applyNumberFormat="1" applyFont="1" applyFill="1" applyBorder="1" applyAlignment="1">
      <alignment vertical="top" wrapText="1"/>
    </xf>
    <xf numFmtId="3" fontId="21" fillId="2" borderId="4" xfId="0" applyNumberFormat="1" applyFont="1" applyFill="1" applyBorder="1" applyAlignment="1">
      <alignment vertical="top" wrapText="1"/>
    </xf>
    <xf numFmtId="3" fontId="21" fillId="2" borderId="1" xfId="0" applyNumberFormat="1" applyFont="1" applyFill="1" applyBorder="1" applyAlignment="1">
      <alignment vertical="top" wrapText="1"/>
    </xf>
    <xf numFmtId="0" fontId="9" fillId="0" borderId="0" xfId="0" applyFont="1" applyAlignment="1">
      <alignment horizontal="center" vertical="center" wrapText="1"/>
    </xf>
    <xf numFmtId="0" fontId="11" fillId="3" borderId="0" xfId="0" applyFont="1" applyFill="1"/>
    <xf numFmtId="0" fontId="9" fillId="0" borderId="1" xfId="0" applyFont="1" applyBorder="1" applyAlignment="1">
      <alignment horizontal="center" vertical="center" wrapText="1"/>
    </xf>
    <xf numFmtId="3" fontId="21" fillId="2" borderId="2" xfId="0" applyNumberFormat="1" applyFont="1" applyFill="1" applyBorder="1" applyAlignment="1">
      <alignment horizontal="center" vertical="top" wrapText="1"/>
    </xf>
    <xf numFmtId="0" fontId="21" fillId="0" borderId="0" xfId="0" applyFont="1" applyAlignment="1">
      <alignment vertical="top" wrapText="1"/>
    </xf>
    <xf numFmtId="3" fontId="9" fillId="0" borderId="0" xfId="0" applyNumberFormat="1" applyFont="1" applyAlignment="1">
      <alignment horizontal="center" vertical="center"/>
    </xf>
    <xf numFmtId="3" fontId="9" fillId="0" borderId="1" xfId="0" applyNumberFormat="1" applyFont="1" applyBorder="1" applyAlignment="1">
      <alignment horizontal="center" vertical="center"/>
    </xf>
    <xf numFmtId="3" fontId="9" fillId="0" borderId="2" xfId="0" applyNumberFormat="1" applyFont="1" applyBorder="1" applyAlignment="1">
      <alignment horizontal="center" vertical="center"/>
    </xf>
    <xf numFmtId="4" fontId="20" fillId="0" borderId="1" xfId="0" quotePrefix="1" applyNumberFormat="1" applyFont="1" applyBorder="1" applyAlignment="1">
      <alignment horizontal="center" vertical="center" wrapText="1"/>
    </xf>
    <xf numFmtId="0" fontId="20" fillId="0" borderId="0" xfId="0" applyFont="1" applyAlignment="1">
      <alignment horizontal="left" vertical="top" wrapText="1"/>
    </xf>
    <xf numFmtId="0" fontId="20" fillId="3" borderId="1" xfId="0" applyFont="1" applyFill="1" applyBorder="1" applyAlignment="1">
      <alignment horizontal="right" vertical="top" wrapText="1"/>
    </xf>
    <xf numFmtId="4" fontId="20" fillId="0" borderId="1" xfId="0" applyNumberFormat="1" applyFont="1" applyBorder="1" applyAlignment="1">
      <alignment horizontal="center" vertical="center" wrapText="1"/>
    </xf>
    <xf numFmtId="0" fontId="20" fillId="0" borderId="1" xfId="0" applyFont="1" applyBorder="1" applyAlignment="1">
      <alignment horizontal="justify" vertical="top"/>
    </xf>
    <xf numFmtId="0" fontId="40" fillId="5" borderId="1" xfId="0" applyFont="1" applyFill="1" applyBorder="1" applyAlignment="1">
      <alignment horizontal="left" vertical="top" wrapText="1" indent="1"/>
    </xf>
    <xf numFmtId="0" fontId="9" fillId="5" borderId="1" xfId="0" applyFont="1" applyFill="1" applyBorder="1" applyAlignment="1">
      <alignment horizontal="left" vertical="top" wrapText="1" indent="1"/>
    </xf>
    <xf numFmtId="0" fontId="20" fillId="0" borderId="0" xfId="0" applyFont="1" applyAlignment="1">
      <alignment horizontal="right" vertical="top" wrapText="1"/>
    </xf>
    <xf numFmtId="0" fontId="9" fillId="0" borderId="1" xfId="0" applyFont="1" applyBorder="1" applyAlignment="1">
      <alignment horizontal="left" vertical="top" wrapText="1"/>
    </xf>
    <xf numFmtId="0" fontId="9" fillId="0" borderId="0" xfId="0" applyFont="1" applyAlignment="1">
      <alignment horizontal="center" vertical="center"/>
    </xf>
    <xf numFmtId="4" fontId="21" fillId="0" borderId="1" xfId="0" applyNumberFormat="1" applyFont="1" applyBorder="1" applyAlignment="1">
      <alignment horizontal="center" vertical="center" wrapText="1"/>
    </xf>
    <xf numFmtId="0" fontId="9" fillId="0" borderId="16" xfId="0" applyFont="1" applyBorder="1"/>
    <xf numFmtId="0" fontId="9" fillId="0" borderId="11" xfId="0" applyFont="1" applyBorder="1"/>
    <xf numFmtId="0" fontId="11" fillId="0" borderId="11" xfId="0" applyFont="1" applyBorder="1"/>
    <xf numFmtId="0" fontId="11" fillId="0" borderId="11" xfId="0" applyFont="1" applyBorder="1" applyAlignment="1">
      <alignment horizontal="left"/>
    </xf>
    <xf numFmtId="0" fontId="17" fillId="0" borderId="0" xfId="1" applyFont="1" applyAlignment="1" applyProtection="1"/>
    <xf numFmtId="0" fontId="9" fillId="0" borderId="0" xfId="0" applyFont="1" applyAlignment="1">
      <alignment horizontal="right"/>
    </xf>
    <xf numFmtId="0" fontId="11" fillId="0" borderId="15" xfId="0" applyFont="1" applyBorder="1"/>
    <xf numFmtId="0" fontId="11" fillId="3" borderId="6" xfId="0" applyFont="1" applyFill="1" applyBorder="1" applyAlignment="1">
      <alignment horizontal="right" wrapText="1"/>
    </xf>
    <xf numFmtId="0" fontId="9" fillId="0" borderId="6" xfId="0" applyFont="1" applyBorder="1"/>
    <xf numFmtId="0" fontId="9" fillId="0" borderId="7" xfId="0" applyFont="1" applyBorder="1"/>
    <xf numFmtId="0" fontId="21" fillId="21" borderId="1" xfId="0" applyFont="1" applyFill="1" applyBorder="1" applyAlignment="1">
      <alignment horizontal="center" vertical="center" wrapText="1"/>
    </xf>
    <xf numFmtId="0" fontId="11" fillId="21" borderId="12" xfId="0" applyFont="1" applyFill="1" applyBorder="1"/>
    <xf numFmtId="0" fontId="11" fillId="21" borderId="11" xfId="0" applyFont="1" applyFill="1" applyBorder="1"/>
    <xf numFmtId="0" fontId="11" fillId="21" borderId="13" xfId="0" applyFont="1" applyFill="1" applyBorder="1"/>
    <xf numFmtId="167" fontId="11" fillId="0" borderId="1" xfId="25" applyNumberFormat="1" applyFont="1" applyBorder="1"/>
    <xf numFmtId="0" fontId="21" fillId="0" borderId="1" xfId="0" applyFont="1" applyBorder="1"/>
    <xf numFmtId="0" fontId="20" fillId="0" borderId="1" xfId="0" applyFont="1" applyBorder="1" applyAlignment="1">
      <alignment horizontal="left"/>
    </xf>
    <xf numFmtId="0" fontId="9" fillId="0" borderId="1" xfId="0" applyFont="1" applyBorder="1" applyAlignment="1">
      <alignment horizontal="left" indent="2"/>
    </xf>
    <xf numFmtId="0" fontId="41" fillId="0" borderId="0" xfId="1" applyFont="1" applyAlignment="1" applyProtection="1"/>
    <xf numFmtId="0" fontId="17" fillId="0" borderId="0" xfId="1" applyFont="1" applyBorder="1" applyAlignment="1" applyProtection="1"/>
    <xf numFmtId="0" fontId="13" fillId="17" borderId="1" xfId="0" applyFont="1" applyFill="1" applyBorder="1" applyAlignment="1">
      <alignment horizontal="center"/>
    </xf>
    <xf numFmtId="0" fontId="13" fillId="17" borderId="1" xfId="0" applyFont="1" applyFill="1" applyBorder="1"/>
    <xf numFmtId="0" fontId="13" fillId="0" borderId="1" xfId="0" applyFont="1" applyBorder="1" applyAlignment="1">
      <alignment horizontal="left" vertical="center"/>
    </xf>
    <xf numFmtId="0" fontId="12" fillId="0" borderId="1" xfId="0" applyFont="1" applyBorder="1" applyAlignment="1">
      <alignment horizontal="left" vertical="center"/>
    </xf>
    <xf numFmtId="15" fontId="12" fillId="0" borderId="1" xfId="0" applyNumberFormat="1" applyFont="1" applyBorder="1"/>
    <xf numFmtId="15" fontId="12" fillId="0" borderId="0" xfId="0" applyNumberFormat="1" applyFont="1"/>
    <xf numFmtId="0" fontId="12" fillId="0" borderId="0" xfId="0" applyFont="1" applyAlignment="1">
      <alignment vertical="center" wrapText="1"/>
    </xf>
    <xf numFmtId="0" fontId="11" fillId="17" borderId="0" xfId="0" applyFont="1" applyFill="1" applyAlignment="1">
      <alignment horizontal="center" wrapText="1"/>
    </xf>
    <xf numFmtId="0" fontId="9" fillId="0" borderId="0" xfId="0" applyFont="1" applyAlignment="1">
      <alignment vertical="top"/>
    </xf>
    <xf numFmtId="0" fontId="0" fillId="0" borderId="1" xfId="0" applyBorder="1" applyAlignment="1">
      <alignment horizontal="left" vertical="top" wrapText="1"/>
    </xf>
    <xf numFmtId="0" fontId="20" fillId="9" borderId="1" xfId="0" applyFont="1" applyFill="1" applyBorder="1" applyAlignment="1">
      <alignment horizontal="center"/>
    </xf>
    <xf numFmtId="0" fontId="20" fillId="9" borderId="1" xfId="0" applyFont="1" applyFill="1" applyBorder="1" applyAlignment="1">
      <alignment horizontal="center" wrapText="1"/>
    </xf>
    <xf numFmtId="0" fontId="21" fillId="16" borderId="1" xfId="0" applyFont="1" applyFill="1" applyBorder="1" applyAlignment="1">
      <alignment horizontal="center" wrapText="1"/>
    </xf>
    <xf numFmtId="0" fontId="21" fillId="9" borderId="1" xfId="0" applyFont="1" applyFill="1" applyBorder="1" applyAlignment="1">
      <alignment horizontal="center"/>
    </xf>
    <xf numFmtId="0" fontId="21" fillId="9" borderId="1" xfId="0" applyFont="1" applyFill="1" applyBorder="1" applyAlignment="1">
      <alignment horizontal="center" wrapText="1"/>
    </xf>
    <xf numFmtId="0" fontId="21" fillId="9"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0" borderId="1" xfId="0" applyFont="1" applyBorder="1" applyAlignment="1">
      <alignment vertical="center" wrapText="1"/>
    </xf>
    <xf numFmtId="0" fontId="20" fillId="9" borderId="5"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0" borderId="1" xfId="0" applyFont="1" applyBorder="1" applyAlignment="1">
      <alignment horizontal="justify" vertical="center"/>
    </xf>
    <xf numFmtId="0" fontId="21" fillId="9" borderId="5"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9" fillId="17" borderId="1" xfId="0" applyFont="1" applyFill="1" applyBorder="1" applyAlignment="1">
      <alignment horizontal="left" vertical="center" wrapText="1"/>
    </xf>
    <xf numFmtId="0" fontId="9" fillId="0" borderId="1" xfId="0" applyFont="1" applyBorder="1" applyAlignment="1">
      <alignment horizontal="left" wrapText="1"/>
    </xf>
    <xf numFmtId="0" fontId="11" fillId="17" borderId="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12" fillId="0" borderId="11" xfId="0" applyFont="1" applyBorder="1" applyAlignment="1">
      <alignment horizontal="center"/>
    </xf>
    <xf numFmtId="0" fontId="12" fillId="0" borderId="0" xfId="0" applyFont="1" applyAlignment="1">
      <alignment horizontal="center"/>
    </xf>
    <xf numFmtId="0" fontId="12" fillId="17" borderId="1" xfId="0" applyFont="1" applyFill="1" applyBorder="1" applyAlignment="1">
      <alignment horizontal="left" vertical="center" wrapText="1"/>
    </xf>
    <xf numFmtId="0" fontId="12" fillId="0" borderId="1" xfId="0" applyFont="1" applyBorder="1" applyAlignment="1">
      <alignment horizontal="left" wrapText="1"/>
    </xf>
    <xf numFmtId="0" fontId="21" fillId="17" borderId="2" xfId="0" applyFont="1" applyFill="1" applyBorder="1" applyAlignment="1">
      <alignment horizontal="center" wrapText="1"/>
    </xf>
    <xf numFmtId="0" fontId="21" fillId="17" borderId="4" xfId="0" applyFont="1" applyFill="1" applyBorder="1" applyAlignment="1">
      <alignment horizontal="center" wrapText="1"/>
    </xf>
    <xf numFmtId="0" fontId="12" fillId="17" borderId="1" xfId="0" applyFont="1" applyFill="1" applyBorder="1" applyAlignment="1">
      <alignment horizontal="center" vertical="center"/>
    </xf>
    <xf numFmtId="0" fontId="5" fillId="17" borderId="1" xfId="0" applyFont="1" applyFill="1" applyBorder="1" applyAlignment="1">
      <alignment horizontal="left" vertical="center" wrapText="1"/>
    </xf>
    <xf numFmtId="0" fontId="8" fillId="17" borderId="2" xfId="0" applyFont="1" applyFill="1" applyBorder="1" applyAlignment="1">
      <alignment horizontal="center" vertical="center" wrapText="1"/>
    </xf>
    <xf numFmtId="0" fontId="29" fillId="17" borderId="3"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5" fillId="4" borderId="1" xfId="0" applyFont="1" applyFill="1" applyBorder="1" applyAlignment="1">
      <alignment horizontal="center" vertical="top"/>
    </xf>
    <xf numFmtId="0" fontId="8" fillId="17" borderId="1" xfId="0" applyFont="1" applyFill="1" applyBorder="1" applyAlignment="1">
      <alignment horizontal="center"/>
    </xf>
    <xf numFmtId="0" fontId="5" fillId="0" borderId="11" xfId="0" applyFont="1" applyBorder="1" applyAlignment="1">
      <alignment horizontal="left"/>
    </xf>
    <xf numFmtId="0" fontId="8" fillId="17" borderId="1" xfId="0" applyFont="1" applyFill="1" applyBorder="1" applyAlignment="1">
      <alignment horizontal="center" vertical="center" wrapText="1"/>
    </xf>
    <xf numFmtId="0" fontId="3" fillId="0" borderId="11" xfId="0" applyFont="1" applyBorder="1" applyAlignment="1">
      <alignment horizontal="left"/>
    </xf>
    <xf numFmtId="0" fontId="5" fillId="0" borderId="1" xfId="0" applyFont="1" applyBorder="1" applyAlignment="1">
      <alignment horizontal="left" wrapText="1"/>
    </xf>
    <xf numFmtId="0" fontId="13" fillId="21" borderId="1" xfId="0" applyFont="1" applyFill="1" applyBorder="1" applyAlignment="1">
      <alignment horizontal="center"/>
    </xf>
    <xf numFmtId="0" fontId="48" fillId="21" borderId="2" xfId="0" applyFont="1" applyFill="1" applyBorder="1" applyAlignment="1">
      <alignment horizontal="center"/>
    </xf>
    <xf numFmtId="0" fontId="48" fillId="21" borderId="3" xfId="0" applyFont="1" applyFill="1" applyBorder="1" applyAlignment="1">
      <alignment horizontal="center"/>
    </xf>
    <xf numFmtId="0" fontId="48" fillId="21" borderId="4" xfId="0" applyFont="1" applyFill="1" applyBorder="1" applyAlignment="1">
      <alignment horizontal="center"/>
    </xf>
    <xf numFmtId="0" fontId="11" fillId="4" borderId="2" xfId="0" quotePrefix="1" applyFont="1" applyFill="1" applyBorder="1" applyAlignment="1">
      <alignment horizontal="center"/>
    </xf>
    <xf numFmtId="0" fontId="11" fillId="4" borderId="3" xfId="0" quotePrefix="1" applyFont="1" applyFill="1" applyBorder="1" applyAlignment="1">
      <alignment horizontal="center"/>
    </xf>
    <xf numFmtId="0" fontId="11" fillId="4" borderId="4" xfId="0" quotePrefix="1" applyFont="1" applyFill="1" applyBorder="1" applyAlignment="1">
      <alignment horizontal="center"/>
    </xf>
    <xf numFmtId="0" fontId="11" fillId="4"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47" fillId="0" borderId="2" xfId="0" applyFont="1" applyBorder="1" applyAlignment="1">
      <alignment horizontal="center"/>
    </xf>
    <xf numFmtId="0" fontId="47" fillId="0" borderId="3" xfId="0" applyFont="1" applyBorder="1" applyAlignment="1">
      <alignment horizontal="center"/>
    </xf>
    <xf numFmtId="0" fontId="47" fillId="0" borderId="4" xfId="0" applyFont="1" applyBorder="1" applyAlignment="1">
      <alignment horizontal="center"/>
    </xf>
    <xf numFmtId="0" fontId="11" fillId="4" borderId="5" xfId="0" applyFont="1" applyFill="1" applyBorder="1" applyAlignment="1">
      <alignment horizontal="center" wrapText="1"/>
    </xf>
    <xf numFmtId="0" fontId="11" fillId="4" borderId="9" xfId="0" applyFont="1" applyFill="1" applyBorder="1" applyAlignment="1">
      <alignment horizontal="center" wrapText="1"/>
    </xf>
    <xf numFmtId="0" fontId="11" fillId="4" borderId="1" xfId="0" quotePrefix="1" applyFont="1" applyFill="1" applyBorder="1" applyAlignment="1">
      <alignment horizontal="center"/>
    </xf>
    <xf numFmtId="0" fontId="11" fillId="4" borderId="1" xfId="0" applyFont="1" applyFill="1" applyBorder="1" applyAlignment="1">
      <alignment horizontal="center"/>
    </xf>
    <xf numFmtId="0" fontId="47" fillId="0" borderId="1" xfId="0" applyFont="1" applyBorder="1" applyAlignment="1">
      <alignment horizontal="center"/>
    </xf>
    <xf numFmtId="0" fontId="12" fillId="0" borderId="1" xfId="0" applyFont="1" applyBorder="1" applyAlignment="1">
      <alignment horizontal="left" vertical="center" wrapText="1"/>
    </xf>
    <xf numFmtId="0" fontId="21" fillId="17" borderId="2" xfId="0" applyFont="1" applyFill="1" applyBorder="1" applyAlignment="1">
      <alignment horizontal="center"/>
    </xf>
    <xf numFmtId="0" fontId="21" fillId="17" borderId="3" xfId="0" applyFont="1" applyFill="1" applyBorder="1" applyAlignment="1">
      <alignment horizontal="center"/>
    </xf>
    <xf numFmtId="0" fontId="21" fillId="17" borderId="4"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1" fillId="4" borderId="1" xfId="0" quotePrefix="1" applyFont="1" applyFill="1" applyBorder="1" applyAlignment="1">
      <alignment horizontal="center" vertical="center"/>
    </xf>
    <xf numFmtId="0" fontId="11" fillId="4" borderId="1" xfId="0" applyFont="1" applyFill="1" applyBorder="1" applyAlignment="1">
      <alignment horizontal="center" vertical="center"/>
    </xf>
    <xf numFmtId="0" fontId="13" fillId="0" borderId="6" xfId="0" applyFont="1" applyBorder="1" applyAlignment="1">
      <alignment horizontal="center"/>
    </xf>
    <xf numFmtId="0" fontId="40" fillId="0" borderId="11" xfId="0" applyFont="1" applyBorder="1" applyAlignment="1">
      <alignment horizontal="left"/>
    </xf>
    <xf numFmtId="0" fontId="11" fillId="4" borderId="1" xfId="0" applyFont="1" applyFill="1" applyBorder="1" applyAlignment="1">
      <alignment horizontal="center" wrapText="1"/>
    </xf>
    <xf numFmtId="0" fontId="13" fillId="17" borderId="1" xfId="0" applyFont="1" applyFill="1" applyBorder="1" applyAlignment="1">
      <alignment horizontal="left"/>
    </xf>
    <xf numFmtId="0" fontId="45" fillId="17" borderId="1" xfId="0" applyFont="1" applyFill="1" applyBorder="1" applyAlignment="1">
      <alignment horizontal="left"/>
    </xf>
    <xf numFmtId="0" fontId="48" fillId="17" borderId="1" xfId="0" applyFont="1" applyFill="1" applyBorder="1" applyAlignment="1">
      <alignment horizontal="center"/>
    </xf>
    <xf numFmtId="0" fontId="40" fillId="0" borderId="0" xfId="0" applyFont="1" applyAlignment="1">
      <alignment horizontal="center"/>
    </xf>
    <xf numFmtId="16" fontId="20" fillId="0" borderId="5" xfId="0" quotePrefix="1" applyNumberFormat="1" applyFont="1" applyBorder="1" applyAlignment="1">
      <alignment horizontal="center" vertical="center" wrapText="1"/>
    </xf>
    <xf numFmtId="16" fontId="20" fillId="0" borderId="10" xfId="0" quotePrefix="1" applyNumberFormat="1" applyFont="1" applyBorder="1" applyAlignment="1">
      <alignment horizontal="center" vertical="center" wrapText="1"/>
    </xf>
    <xf numFmtId="16" fontId="20" fillId="0" borderId="9" xfId="0" quotePrefix="1"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1" fillId="21" borderId="2" xfId="0" applyFont="1" applyFill="1" applyBorder="1" applyAlignment="1">
      <alignment horizontal="center"/>
    </xf>
    <xf numFmtId="0" fontId="11" fillId="21" borderId="3" xfId="0" applyFont="1" applyFill="1" applyBorder="1" applyAlignment="1">
      <alignment horizontal="center"/>
    </xf>
    <xf numFmtId="0" fontId="11" fillId="21" borderId="4" xfId="0" applyFont="1" applyFill="1" applyBorder="1" applyAlignment="1">
      <alignment horizontal="center"/>
    </xf>
    <xf numFmtId="0" fontId="48" fillId="17" borderId="2" xfId="0" applyFont="1" applyFill="1" applyBorder="1" applyAlignment="1">
      <alignment horizontal="center"/>
    </xf>
    <xf numFmtId="0" fontId="48" fillId="17" borderId="3" xfId="0" applyFont="1" applyFill="1" applyBorder="1" applyAlignment="1">
      <alignment horizontal="center"/>
    </xf>
    <xf numFmtId="0" fontId="48" fillId="17" borderId="4" xfId="0" applyFont="1" applyFill="1" applyBorder="1" applyAlignment="1">
      <alignment horizontal="center"/>
    </xf>
    <xf numFmtId="0" fontId="48" fillId="17" borderId="0" xfId="0" applyFont="1" applyFill="1" applyAlignment="1">
      <alignment horizontal="left"/>
    </xf>
    <xf numFmtId="0" fontId="50" fillId="21" borderId="1" xfId="0" applyFont="1" applyFill="1" applyBorder="1" applyAlignment="1">
      <alignment horizontal="center"/>
    </xf>
    <xf numFmtId="0" fontId="46" fillId="21" borderId="1" xfId="0" applyFont="1" applyFill="1" applyBorder="1" applyAlignment="1">
      <alignment horizontal="center" vertic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3" fillId="21" borderId="0" xfId="0" applyFont="1" applyFill="1" applyAlignment="1">
      <alignment horizontal="center"/>
    </xf>
    <xf numFmtId="0" fontId="12" fillId="17" borderId="0" xfId="0" applyFont="1" applyFill="1" applyAlignment="1">
      <alignment horizontal="center"/>
    </xf>
    <xf numFmtId="0" fontId="21" fillId="4" borderId="1" xfId="0" applyFont="1" applyFill="1" applyBorder="1" applyAlignment="1">
      <alignment horizontal="center"/>
    </xf>
    <xf numFmtId="0" fontId="12" fillId="0" borderId="1" xfId="0" applyFont="1" applyBorder="1" applyAlignment="1">
      <alignment horizontal="left"/>
    </xf>
    <xf numFmtId="0" fontId="12" fillId="17" borderId="1" xfId="0" applyFont="1" applyFill="1" applyBorder="1" applyAlignment="1">
      <alignment horizontal="left"/>
    </xf>
    <xf numFmtId="0" fontId="13" fillId="21" borderId="0" xfId="0" applyFont="1" applyFill="1" applyAlignment="1">
      <alignment horizontal="left"/>
    </xf>
    <xf numFmtId="0" fontId="12" fillId="17" borderId="0" xfId="0" applyFont="1" applyFill="1" applyAlignment="1">
      <alignment horizontal="left" wrapText="1"/>
    </xf>
    <xf numFmtId="0" fontId="11" fillId="21" borderId="2" xfId="0" applyFont="1" applyFill="1" applyBorder="1" applyAlignment="1">
      <alignment horizontal="center" wrapText="1"/>
    </xf>
    <xf numFmtId="0" fontId="11" fillId="21" borderId="3" xfId="0" applyFont="1" applyFill="1" applyBorder="1" applyAlignment="1">
      <alignment horizontal="center" wrapText="1"/>
    </xf>
    <xf numFmtId="0" fontId="11" fillId="21" borderId="4" xfId="0" applyFont="1" applyFill="1" applyBorder="1" applyAlignment="1">
      <alignment horizontal="center" wrapText="1"/>
    </xf>
    <xf numFmtId="0" fontId="12" fillId="0" borderId="11" xfId="0" applyFont="1" applyBorder="1" applyAlignment="1">
      <alignment horizontal="center" wrapText="1"/>
    </xf>
    <xf numFmtId="0" fontId="21" fillId="2" borderId="5"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1" fillId="21" borderId="6" xfId="0" applyFont="1" applyFill="1" applyBorder="1" applyAlignment="1">
      <alignment horizontal="center"/>
    </xf>
    <xf numFmtId="0" fontId="9" fillId="4" borderId="4" xfId="0" applyFont="1" applyFill="1" applyBorder="1" applyAlignment="1">
      <alignment horizontal="center"/>
    </xf>
    <xf numFmtId="0" fontId="20" fillId="4" borderId="5"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2" xfId="0" applyFont="1" applyFill="1" applyBorder="1" applyAlignment="1">
      <alignment horizontal="center" vertical="top" wrapText="1"/>
    </xf>
    <xf numFmtId="0" fontId="20" fillId="4" borderId="3" xfId="0" applyFont="1" applyFill="1" applyBorder="1" applyAlignment="1">
      <alignment horizontal="center" vertical="top" wrapText="1"/>
    </xf>
    <xf numFmtId="0" fontId="20" fillId="4" borderId="4" xfId="0" applyFont="1" applyFill="1" applyBorder="1" applyAlignment="1">
      <alignment horizontal="center" vertical="top" wrapText="1"/>
    </xf>
    <xf numFmtId="0" fontId="0" fillId="17" borderId="1" xfId="0" applyFill="1" applyBorder="1" applyAlignment="1">
      <alignment horizontal="left"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17" borderId="0" xfId="0" applyFont="1" applyFill="1" applyAlignment="1">
      <alignment horizontal="center" wrapText="1"/>
    </xf>
    <xf numFmtId="0" fontId="5" fillId="21" borderId="1" xfId="0" applyFont="1" applyFill="1" applyBorder="1" applyAlignment="1">
      <alignment horizontal="center"/>
    </xf>
    <xf numFmtId="0" fontId="3" fillId="4" borderId="1" xfId="0" applyFont="1" applyFill="1" applyBorder="1" applyAlignment="1">
      <alignment horizontal="center"/>
    </xf>
    <xf numFmtId="0" fontId="0" fillId="4" borderId="1" xfId="0"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xf>
    <xf numFmtId="0" fontId="0" fillId="4" borderId="8" xfId="0" applyFill="1" applyBorder="1" applyAlignment="1">
      <alignment horizontal="center" wrapText="1"/>
    </xf>
    <xf numFmtId="0" fontId="0" fillId="4" borderId="15" xfId="0" applyFill="1" applyBorder="1" applyAlignment="1">
      <alignment horizontal="center" wrapText="1"/>
    </xf>
    <xf numFmtId="0" fontId="0" fillId="0" borderId="11" xfId="0" applyBorder="1" applyAlignment="1">
      <alignment horizontal="center" vertical="center"/>
    </xf>
    <xf numFmtId="0" fontId="12" fillId="17" borderId="1" xfId="0" applyFont="1" applyFill="1" applyBorder="1" applyAlignment="1">
      <alignment horizontal="left" wrapText="1"/>
    </xf>
    <xf numFmtId="0" fontId="0" fillId="17" borderId="2"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12" fillId="0" borderId="8" xfId="0" applyFont="1" applyBorder="1" applyAlignment="1">
      <alignment horizontal="center" vertical="top" wrapText="1"/>
    </xf>
    <xf numFmtId="0" fontId="12" fillId="0" borderId="0" xfId="0" applyFont="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0" fillId="17" borderId="0" xfId="0" applyFill="1" applyAlignment="1">
      <alignment horizontal="left"/>
    </xf>
    <xf numFmtId="0" fontId="15" fillId="0" borderId="1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0" fillId="0" borderId="3" xfId="0" applyBorder="1" applyAlignment="1">
      <alignment horizontal="center" vertical="center"/>
    </xf>
    <xf numFmtId="0" fontId="28" fillId="11" borderId="2" xfId="0" applyFont="1" applyFill="1" applyBorder="1" applyAlignment="1">
      <alignment horizontal="left" vertical="top" wrapText="1"/>
    </xf>
    <xf numFmtId="0" fontId="28" fillId="11" borderId="3" xfId="0" applyFont="1" applyFill="1" applyBorder="1" applyAlignment="1">
      <alignment vertical="top" wrapText="1"/>
    </xf>
    <xf numFmtId="0" fontId="28" fillId="11" borderId="4" xfId="0" applyFont="1" applyFill="1" applyBorder="1" applyAlignment="1">
      <alignment vertical="top" wrapText="1"/>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5" fillId="0" borderId="12" xfId="0" applyFont="1" applyBorder="1" applyAlignment="1">
      <alignment horizontal="left" wrapText="1"/>
    </xf>
    <xf numFmtId="0" fontId="15" fillId="0" borderId="15" xfId="0" applyFont="1" applyBorder="1" applyAlignment="1">
      <alignment horizontal="left" wrapText="1"/>
    </xf>
    <xf numFmtId="0" fontId="15" fillId="0" borderId="13" xfId="0" applyFont="1" applyBorder="1" applyAlignment="1">
      <alignment horizontal="center" wrapText="1"/>
    </xf>
    <xf numFmtId="0" fontId="15" fillId="0" borderId="7" xfId="0" applyFont="1" applyBorder="1" applyAlignment="1">
      <alignment horizontal="center" wrapText="1"/>
    </xf>
    <xf numFmtId="0" fontId="15" fillId="0" borderId="11" xfId="0" applyFont="1" applyBorder="1" applyAlignment="1">
      <alignment horizontal="center" wrapText="1"/>
    </xf>
    <xf numFmtId="0" fontId="15" fillId="0" borderId="6" xfId="0" applyFont="1" applyBorder="1" applyAlignment="1">
      <alignment horizontal="center" wrapText="1"/>
    </xf>
    <xf numFmtId="0" fontId="14" fillId="0" borderId="3" xfId="0" applyFont="1" applyBorder="1" applyAlignment="1">
      <alignment horizont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3" fillId="10" borderId="2" xfId="0" applyFont="1" applyFill="1" applyBorder="1" applyAlignment="1">
      <alignment horizontal="left" vertical="center"/>
    </xf>
    <xf numFmtId="0" fontId="23" fillId="10" borderId="3" xfId="0" applyFont="1" applyFill="1" applyBorder="1" applyAlignment="1">
      <alignment horizontal="left" vertical="center"/>
    </xf>
    <xf numFmtId="0" fontId="23" fillId="10" borderId="4" xfId="0" applyFont="1" applyFill="1" applyBorder="1" applyAlignment="1">
      <alignment horizontal="left" vertical="center"/>
    </xf>
    <xf numFmtId="0" fontId="0" fillId="17" borderId="1" xfId="0" applyFill="1" applyBorder="1" applyAlignment="1">
      <alignment horizontal="center"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6" fillId="17" borderId="1" xfId="0" applyFont="1" applyFill="1" applyBorder="1" applyAlignment="1">
      <alignment horizontal="left"/>
    </xf>
    <xf numFmtId="0" fontId="4" fillId="0" borderId="1" xfId="0" applyFont="1" applyBorder="1" applyAlignment="1">
      <alignment horizontal="left" wrapText="1"/>
    </xf>
    <xf numFmtId="0" fontId="11" fillId="17" borderId="1" xfId="0" applyFont="1" applyFill="1" applyBorder="1" applyAlignment="1">
      <alignment horizontal="center" wrapText="1"/>
    </xf>
    <xf numFmtId="0" fontId="11" fillId="17" borderId="0" xfId="0" applyFont="1" applyFill="1" applyAlignment="1">
      <alignment horizontal="left" wrapText="1"/>
    </xf>
    <xf numFmtId="0" fontId="13" fillId="19" borderId="0" xfId="0" applyFont="1" applyFill="1" applyAlignment="1">
      <alignment horizontal="center" wrapText="1"/>
    </xf>
    <xf numFmtId="0" fontId="45" fillId="0" borderId="0" xfId="0" applyFont="1" applyAlignment="1">
      <alignment horizontal="left" wrapText="1"/>
    </xf>
    <xf numFmtId="0" fontId="11" fillId="17" borderId="2" xfId="0" applyFont="1" applyFill="1" applyBorder="1" applyAlignment="1">
      <alignment horizontal="center" wrapText="1"/>
    </xf>
    <xf numFmtId="0" fontId="11" fillId="17" borderId="3" xfId="0" applyFont="1" applyFill="1" applyBorder="1" applyAlignment="1">
      <alignment horizontal="center" wrapText="1"/>
    </xf>
    <xf numFmtId="0" fontId="11" fillId="17" borderId="1" xfId="0" applyFont="1" applyFill="1" applyBorder="1" applyAlignment="1">
      <alignment horizontal="center" vertical="center"/>
    </xf>
    <xf numFmtId="0" fontId="20" fillId="0" borderId="0" xfId="0" applyFont="1" applyAlignment="1">
      <alignment horizontal="left" wrapText="1"/>
    </xf>
    <xf numFmtId="0" fontId="12" fillId="0" borderId="0" xfId="0" applyFont="1" applyAlignment="1">
      <alignment horizontal="left" wrapText="1"/>
    </xf>
    <xf numFmtId="0" fontId="46" fillId="21" borderId="2" xfId="0" applyFont="1" applyFill="1" applyBorder="1" applyAlignment="1">
      <alignment horizontal="center" wrapText="1"/>
    </xf>
    <xf numFmtId="0" fontId="46" fillId="21" borderId="3" xfId="0" applyFont="1" applyFill="1" applyBorder="1" applyAlignment="1">
      <alignment horizontal="center" wrapText="1"/>
    </xf>
    <xf numFmtId="0" fontId="46" fillId="21" borderId="4"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xf>
    <xf numFmtId="0" fontId="0" fillId="0" borderId="0" xfId="0" applyAlignment="1">
      <alignment horizontal="left" vertical="center" wrapText="1"/>
    </xf>
    <xf numFmtId="0" fontId="0" fillId="0" borderId="1" xfId="0" applyBorder="1" applyAlignment="1">
      <alignment horizontal="left" wrapText="1"/>
    </xf>
    <xf numFmtId="0" fontId="0" fillId="0" borderId="11" xfId="0" applyBorder="1" applyAlignment="1">
      <alignment horizontal="left" wrapText="1"/>
    </xf>
    <xf numFmtId="0" fontId="0" fillId="17" borderId="0" xfId="0" applyFill="1" applyAlignment="1">
      <alignment horizontal="center" wrapText="1"/>
    </xf>
    <xf numFmtId="0" fontId="13" fillId="17" borderId="2" xfId="0" applyFont="1" applyFill="1" applyBorder="1" applyAlignment="1">
      <alignment horizontal="center" wrapText="1"/>
    </xf>
    <xf numFmtId="0" fontId="13" fillId="17" borderId="3" xfId="0" applyFont="1" applyFill="1" applyBorder="1" applyAlignment="1">
      <alignment horizontal="center" wrapText="1"/>
    </xf>
    <xf numFmtId="0" fontId="13" fillId="17" borderId="4" xfId="0" applyFont="1" applyFill="1" applyBorder="1" applyAlignment="1">
      <alignment horizontal="center" wrapText="1"/>
    </xf>
    <xf numFmtId="0" fontId="13" fillId="0" borderId="11" xfId="0" applyFont="1" applyBorder="1" applyAlignment="1">
      <alignment horizontal="left"/>
    </xf>
    <xf numFmtId="0" fontId="49" fillId="0" borderId="1" xfId="0" applyFont="1" applyBorder="1" applyAlignment="1">
      <alignment horizontal="center" vertical="top" wrapText="1"/>
    </xf>
    <xf numFmtId="0" fontId="49" fillId="0" borderId="1" xfId="0" applyFont="1" applyBorder="1" applyAlignment="1">
      <alignment horizontal="left" vertical="top" wrapText="1"/>
    </xf>
    <xf numFmtId="0" fontId="21" fillId="0" borderId="1" xfId="0" applyFont="1" applyBorder="1" applyAlignment="1">
      <alignment horizontal="center" wrapText="1"/>
    </xf>
    <xf numFmtId="0" fontId="9" fillId="17" borderId="6" xfId="0" applyFont="1" applyFill="1" applyBorder="1" applyAlignment="1">
      <alignment horizontal="center"/>
    </xf>
    <xf numFmtId="0" fontId="46" fillId="21" borderId="2" xfId="0" applyFont="1" applyFill="1" applyBorder="1" applyAlignment="1">
      <alignment horizontal="center"/>
    </xf>
    <xf numFmtId="0" fontId="46" fillId="21" borderId="3" xfId="0" applyFont="1" applyFill="1" applyBorder="1" applyAlignment="1">
      <alignment horizontal="center"/>
    </xf>
    <xf numFmtId="0" fontId="46" fillId="21" borderId="4" xfId="0" applyFont="1" applyFill="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49" fillId="0" borderId="1" xfId="0" applyFont="1" applyBorder="1" applyAlignment="1">
      <alignment horizontal="center" wrapText="1"/>
    </xf>
    <xf numFmtId="0" fontId="21" fillId="5" borderId="1" xfId="0" applyFont="1" applyFill="1" applyBorder="1" applyAlignment="1">
      <alignment horizontal="left" vertical="top" wrapText="1" indent="1"/>
    </xf>
    <xf numFmtId="0" fontId="21" fillId="7" borderId="1" xfId="0" applyFont="1" applyFill="1" applyBorder="1" applyAlignment="1">
      <alignment horizontal="left" vertical="top" wrapText="1" indent="1"/>
    </xf>
    <xf numFmtId="0" fontId="9" fillId="0" borderId="11" xfId="0" applyFont="1" applyBorder="1" applyAlignment="1">
      <alignment horizontal="left"/>
    </xf>
    <xf numFmtId="0" fontId="46" fillId="21" borderId="0" xfId="0" applyFont="1" applyFill="1" applyAlignment="1">
      <alignment horizontal="center" vertical="center"/>
    </xf>
    <xf numFmtId="0" fontId="21" fillId="21" borderId="1" xfId="0" applyFont="1" applyFill="1" applyBorder="1" applyAlignment="1">
      <alignment horizontal="center" vertical="center" wrapText="1"/>
    </xf>
    <xf numFmtId="0" fontId="9" fillId="0" borderId="5" xfId="0" applyFont="1" applyBorder="1" applyAlignment="1">
      <alignment horizontal="center" wrapText="1"/>
    </xf>
    <xf numFmtId="0" fontId="9" fillId="0" borderId="9" xfId="0" applyFont="1" applyBorder="1" applyAlignment="1">
      <alignment horizontal="center" wrapText="1"/>
    </xf>
    <xf numFmtId="0" fontId="11" fillId="17" borderId="16" xfId="0" applyFont="1" applyFill="1" applyBorder="1" applyAlignment="1">
      <alignment horizontal="center" wrapText="1"/>
    </xf>
    <xf numFmtId="0" fontId="9" fillId="0" borderId="11" xfId="0" applyFont="1" applyBorder="1" applyAlignment="1">
      <alignment horizontal="center"/>
    </xf>
    <xf numFmtId="0" fontId="23" fillId="10" borderId="8" xfId="0" applyFont="1" applyFill="1" applyBorder="1" applyAlignment="1">
      <alignment horizontal="center" vertical="center"/>
    </xf>
    <xf numFmtId="0" fontId="23" fillId="10" borderId="0" xfId="0" applyFont="1" applyFill="1" applyAlignment="1">
      <alignment horizontal="center" vertical="center"/>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wrapText="1"/>
    </xf>
    <xf numFmtId="0" fontId="15" fillId="0" borderId="8" xfId="0" applyFont="1" applyBorder="1" applyAlignment="1">
      <alignment wrapText="1"/>
    </xf>
    <xf numFmtId="0" fontId="15" fillId="0" borderId="0" xfId="0" applyFont="1" applyAlignment="1">
      <alignment horizontal="center" wrapText="1"/>
    </xf>
    <xf numFmtId="0" fontId="34" fillId="0" borderId="3" xfId="0" applyFont="1" applyBorder="1" applyAlignment="1">
      <alignment horizontal="center" wrapText="1"/>
    </xf>
    <xf numFmtId="0" fontId="14" fillId="0" borderId="4" xfId="0" applyFont="1" applyBorder="1" applyAlignment="1">
      <alignment horizontal="center" wrapText="1"/>
    </xf>
    <xf numFmtId="0" fontId="21" fillId="17" borderId="1" xfId="0" applyFont="1" applyFill="1" applyBorder="1" applyAlignment="1">
      <alignment horizontal="center" wrapText="1"/>
    </xf>
    <xf numFmtId="0" fontId="21" fillId="17" borderId="2"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0" fillId="17" borderId="1" xfId="0" applyFill="1" applyBorder="1" applyAlignment="1">
      <alignment horizontal="left" wrapText="1"/>
    </xf>
    <xf numFmtId="0" fontId="0" fillId="17" borderId="0" xfId="0" applyFill="1" applyAlignment="1">
      <alignment horizontal="left" wrapText="1"/>
    </xf>
    <xf numFmtId="0" fontId="0" fillId="0" borderId="1" xfId="0" applyBorder="1" applyAlignment="1">
      <alignment horizontal="left"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0" fillId="0" borderId="1" xfId="0" applyBorder="1" applyAlignment="1">
      <alignment horizontal="left" vertical="top" wrapText="1"/>
    </xf>
    <xf numFmtId="0" fontId="1" fillId="3" borderId="1" xfId="0" applyFont="1" applyFill="1" applyBorder="1" applyAlignment="1">
      <alignment horizontal="left" wrapText="1"/>
    </xf>
    <xf numFmtId="0" fontId="1" fillId="17" borderId="9" xfId="0" applyFont="1" applyFill="1" applyBorder="1" applyAlignment="1">
      <alignment horizontal="left" wrapText="1"/>
    </xf>
    <xf numFmtId="0" fontId="0" fillId="0" borderId="5" xfId="0" applyBorder="1" applyAlignment="1">
      <alignment horizontal="left" wrapText="1"/>
    </xf>
    <xf numFmtId="0" fontId="0" fillId="17" borderId="0" xfId="0" applyFill="1" applyAlignment="1">
      <alignment horizontal="left" vertical="top" wrapText="1"/>
    </xf>
    <xf numFmtId="0" fontId="1" fillId="17" borderId="1" xfId="0" applyFont="1" applyFill="1" applyBorder="1" applyAlignment="1">
      <alignment horizontal="left" wrapText="1"/>
    </xf>
    <xf numFmtId="0" fontId="1" fillId="17" borderId="1" xfId="0" applyFont="1" applyFill="1" applyBorder="1" applyAlignment="1">
      <alignment horizontal="left"/>
    </xf>
    <xf numFmtId="0" fontId="1" fillId="17" borderId="0" xfId="0" applyFont="1" applyFill="1" applyAlignment="1">
      <alignment horizontal="left"/>
    </xf>
    <xf numFmtId="0" fontId="0" fillId="0" borderId="0" xfId="0" applyAlignment="1">
      <alignment horizontal="left" vertical="top" wrapText="1"/>
    </xf>
    <xf numFmtId="0" fontId="0" fillId="3" borderId="1" xfId="0" applyFill="1" applyBorder="1" applyAlignment="1">
      <alignment horizontal="left"/>
    </xf>
    <xf numFmtId="0" fontId="30" fillId="0" borderId="0" xfId="0" applyFont="1" applyAlignment="1">
      <alignment horizontal="center" wrapText="1"/>
    </xf>
    <xf numFmtId="0" fontId="31" fillId="13" borderId="0" xfId="0" applyFont="1" applyFill="1" applyAlignment="1">
      <alignment horizontal="left"/>
    </xf>
    <xf numFmtId="0" fontId="0" fillId="0" borderId="0" xfId="0" applyAlignment="1"/>
    <xf numFmtId="0" fontId="58" fillId="0" borderId="0" xfId="0" applyFont="1" applyAlignment="1"/>
    <xf numFmtId="0" fontId="1" fillId="21" borderId="1" xfId="0" applyFont="1" applyFill="1" applyBorder="1" applyAlignment="1">
      <alignment wrapText="1"/>
    </xf>
    <xf numFmtId="0" fontId="0" fillId="0" borderId="1" xfId="0" applyBorder="1" applyAlignment="1">
      <alignment vertical="top" wrapText="1"/>
    </xf>
    <xf numFmtId="0" fontId="0" fillId="0" borderId="1" xfId="0" quotePrefix="1" applyBorder="1" applyAlignment="1">
      <alignment vertical="top" wrapText="1"/>
    </xf>
    <xf numFmtId="0" fontId="0" fillId="0" borderId="1" xfId="0" applyBorder="1" applyAlignment="1">
      <alignment vertical="top"/>
    </xf>
    <xf numFmtId="0" fontId="58" fillId="0" borderId="0" xfId="0" applyFont="1"/>
    <xf numFmtId="0" fontId="58" fillId="0" borderId="0" xfId="0" applyFont="1" applyFill="1" applyBorder="1" applyAlignment="1">
      <alignment horizontal="left" vertical="top"/>
    </xf>
    <xf numFmtId="0" fontId="0" fillId="0" borderId="0" xfId="0" applyAlignment="1">
      <alignment horizontal="left" wrapText="1"/>
    </xf>
    <xf numFmtId="0" fontId="1" fillId="21" borderId="1" xfId="0" applyFont="1" applyFill="1" applyBorder="1" applyAlignment="1">
      <alignment horizontal="center"/>
    </xf>
    <xf numFmtId="0" fontId="1" fillId="3" borderId="0" xfId="0" applyFont="1" applyFill="1" applyAlignment="1">
      <alignment wrapText="1"/>
    </xf>
    <xf numFmtId="0" fontId="1" fillId="21" borderId="1" xfId="0" applyFont="1" applyFill="1" applyBorder="1"/>
    <xf numFmtId="0" fontId="1" fillId="21" borderId="1" xfId="0" applyFont="1" applyFill="1" applyBorder="1" applyAlignment="1">
      <alignment horizontal="center"/>
    </xf>
    <xf numFmtId="0" fontId="0" fillId="0" borderId="1" xfId="0" applyBorder="1" applyAlignment="1">
      <alignment horizontal="center" wrapText="1"/>
    </xf>
    <xf numFmtId="0" fontId="0" fillId="0" borderId="0" xfId="0" applyFill="1" applyBorder="1" applyAlignment="1">
      <alignment horizontal="left" wrapText="1"/>
    </xf>
    <xf numFmtId="0" fontId="0" fillId="0" borderId="0" xfId="0" quotePrefix="1"/>
    <xf numFmtId="0" fontId="60" fillId="0" borderId="0" xfId="0" applyFont="1"/>
    <xf numFmtId="0" fontId="60" fillId="0" borderId="0" xfId="0" applyFont="1" applyFill="1" applyBorder="1" applyAlignment="1">
      <alignment horizontal="left"/>
    </xf>
    <xf numFmtId="0" fontId="60" fillId="0" borderId="0" xfId="0" applyFont="1" applyAlignment="1">
      <alignment horizontal="left" wrapText="1"/>
    </xf>
    <xf numFmtId="0" fontId="60" fillId="0" borderId="0" xfId="0" applyFont="1" applyFill="1" applyBorder="1" applyAlignment="1"/>
  </cellXfs>
  <cellStyles count="45">
    <cellStyle name="Comma" xfId="25" builtinId="3"/>
    <cellStyle name="Comma 2" xfId="11" xr:uid="{00000000-0005-0000-0000-000001000000}"/>
    <cellStyle name="Comma 2 13" xfId="44" xr:uid="{DC2CC323-FC7A-4C38-A807-929C5933C25C}"/>
    <cellStyle name="Hyperlink" xfId="1" builtinId="8"/>
    <cellStyle name="Normal" xfId="0" builtinId="0"/>
    <cellStyle name="Normal 2" xfId="43" xr:uid="{DDFC99FF-6E73-4701-8D76-907337CEDA71}"/>
    <cellStyle name="Normal_PR.3.3" xfId="20" xr:uid="{00000000-0005-0000-0000-000004000000}"/>
    <cellStyle name="Percent" xfId="26" builtinId="5"/>
    <cellStyle name="style1558457551214" xfId="4" xr:uid="{00000000-0005-0000-0000-000006000000}"/>
    <cellStyle name="style1558457551803" xfId="3" xr:uid="{00000000-0005-0000-0000-000007000000}"/>
    <cellStyle name="style1558457551936" xfId="2" xr:uid="{00000000-0005-0000-0000-000008000000}"/>
    <cellStyle name="style1558457552138" xfId="5" xr:uid="{00000000-0005-0000-0000-000009000000}"/>
    <cellStyle name="style1558457552175" xfId="6" xr:uid="{00000000-0005-0000-0000-00000A000000}"/>
    <cellStyle name="style1558457552967" xfId="7" xr:uid="{00000000-0005-0000-0000-00000B000000}"/>
    <cellStyle name="style1558457553009" xfId="8" xr:uid="{00000000-0005-0000-0000-00000C000000}"/>
    <cellStyle name="style1558457553164" xfId="9" xr:uid="{00000000-0005-0000-0000-00000D000000}"/>
    <cellStyle name="style1558457553204" xfId="10" xr:uid="{00000000-0005-0000-0000-00000E000000}"/>
    <cellStyle name="style1558984216391" xfId="27" xr:uid="{00000000-0005-0000-0000-00000F000000}"/>
    <cellStyle name="style1558984216429" xfId="28" xr:uid="{00000000-0005-0000-0000-000010000000}"/>
    <cellStyle name="style1558984216491" xfId="29" xr:uid="{00000000-0005-0000-0000-000011000000}"/>
    <cellStyle name="style1558984216560" xfId="30" xr:uid="{00000000-0005-0000-0000-000012000000}"/>
    <cellStyle name="style1558984216607" xfId="31" xr:uid="{00000000-0005-0000-0000-000013000000}"/>
    <cellStyle name="style1558984216661" xfId="32" xr:uid="{00000000-0005-0000-0000-000014000000}"/>
    <cellStyle name="style1558984216723" xfId="33" xr:uid="{00000000-0005-0000-0000-000015000000}"/>
    <cellStyle name="style1558984216777" xfId="34" xr:uid="{00000000-0005-0000-0000-000016000000}"/>
    <cellStyle name="style1558984216877" xfId="35" xr:uid="{00000000-0005-0000-0000-000017000000}"/>
    <cellStyle name="style1558984216924" xfId="36" xr:uid="{00000000-0005-0000-0000-000018000000}"/>
    <cellStyle name="style1558984216977" xfId="37" xr:uid="{00000000-0005-0000-0000-000019000000}"/>
    <cellStyle name="style1558984217030" xfId="38" xr:uid="{00000000-0005-0000-0000-00001A000000}"/>
    <cellStyle name="style1558984217231" xfId="39" xr:uid="{00000000-0005-0000-0000-00001B000000}"/>
    <cellStyle name="style1558984217278" xfId="40" xr:uid="{00000000-0005-0000-0000-00001C000000}"/>
    <cellStyle name="style1558984217331" xfId="41" xr:uid="{00000000-0005-0000-0000-00001D000000}"/>
    <cellStyle name="style1558984217409" xfId="42" xr:uid="{00000000-0005-0000-0000-00001E000000}"/>
    <cellStyle name="style1558984993559" xfId="12" xr:uid="{00000000-0005-0000-0000-00001F000000}"/>
    <cellStyle name="style1558984993597" xfId="13" xr:uid="{00000000-0005-0000-0000-000020000000}"/>
    <cellStyle name="style1558984993653" xfId="14" xr:uid="{00000000-0005-0000-0000-000021000000}"/>
    <cellStyle name="style1558984993715" xfId="15" xr:uid="{00000000-0005-0000-0000-000022000000}"/>
    <cellStyle name="style1558984993760" xfId="16" xr:uid="{00000000-0005-0000-0000-000023000000}"/>
    <cellStyle name="style1558984993820" xfId="17" xr:uid="{00000000-0005-0000-0000-000024000000}"/>
    <cellStyle name="style1558984993871" xfId="18" xr:uid="{00000000-0005-0000-0000-000025000000}"/>
    <cellStyle name="style1558984993930" xfId="19" xr:uid="{00000000-0005-0000-0000-000026000000}"/>
    <cellStyle name="style1558984994014" xfId="21" xr:uid="{00000000-0005-0000-0000-000027000000}"/>
    <cellStyle name="style1558984994065" xfId="22" xr:uid="{00000000-0005-0000-0000-000028000000}"/>
    <cellStyle name="style1558984994112" xfId="23" xr:uid="{00000000-0005-0000-0000-000029000000}"/>
    <cellStyle name="style1558984994165" xfId="24" xr:uid="{00000000-0005-0000-0000-00002A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Figure S..Overview Employed, unemployed and discourage workers  for urban  1995-2018</a:t>
            </a:r>
          </a:p>
        </c:rich>
      </c:tx>
      <c:overlay val="0"/>
      <c:spPr>
        <a:noFill/>
        <a:ln>
          <a:noFill/>
        </a:ln>
        <a:effectLst/>
      </c:spPr>
    </c:title>
    <c:autoTitleDeleted val="0"/>
    <c:plotArea>
      <c:layout/>
      <c:barChart>
        <c:barDir val="col"/>
        <c:grouping val="stacked"/>
        <c:varyColors val="0"/>
        <c:ser>
          <c:idx val="0"/>
          <c:order val="0"/>
          <c:tx>
            <c:strRef>
              <c:f>'8.5.2'!$C$51</c:f>
              <c:strCache>
                <c:ptCount val="1"/>
                <c:pt idx="0">
                  <c:v>Employed</c:v>
                </c:pt>
              </c:strCache>
            </c:strRef>
          </c:tx>
          <c:spPr>
            <a:solidFill>
              <a:schemeClr val="accent1"/>
            </a:solidFill>
            <a:ln>
              <a:noFill/>
            </a:ln>
            <a:effectLst/>
          </c:spPr>
          <c:invertIfNegative val="0"/>
          <c:cat>
            <c:numRef>
              <c:f>'8.5.2'!$B$53:$B$77</c:f>
              <c:numCache>
                <c:formatCode>General</c:formatCod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cat>
          <c:val>
            <c:numRef>
              <c:f>'8.5.2'!$C$53:$C$77</c:f>
              <c:numCache>
                <c:formatCode>#,##0</c:formatCode>
                <c:ptCount val="24"/>
                <c:pt idx="0">
                  <c:v>82240</c:v>
                </c:pt>
                <c:pt idx="1">
                  <c:v>87134</c:v>
                </c:pt>
                <c:pt idx="2">
                  <c:v>84267</c:v>
                </c:pt>
                <c:pt idx="3">
                  <c:v>88106</c:v>
                </c:pt>
                <c:pt idx="4">
                  <c:v>92747</c:v>
                </c:pt>
                <c:pt idx="5">
                  <c:v>95374</c:v>
                </c:pt>
                <c:pt idx="6">
                  <c:v>97872</c:v>
                </c:pt>
                <c:pt idx="7">
                  <c:v>105129</c:v>
                </c:pt>
                <c:pt idx="8">
                  <c:v>111547</c:v>
                </c:pt>
                <c:pt idx="9">
                  <c:v>112158</c:v>
                </c:pt>
                <c:pt idx="10">
                  <c:v>117379</c:v>
                </c:pt>
                <c:pt idx="11">
                  <c:v>119249</c:v>
                </c:pt>
                <c:pt idx="12">
                  <c:v>123796</c:v>
                </c:pt>
                <c:pt idx="13">
                  <c:v>126674</c:v>
                </c:pt>
                <c:pt idx="14">
                  <c:v>132346</c:v>
                </c:pt>
                <c:pt idx="15">
                  <c:v>135139</c:v>
                </c:pt>
                <c:pt idx="16">
                  <c:v>135820</c:v>
                </c:pt>
                <c:pt idx="17">
                  <c:v>135853</c:v>
                </c:pt>
                <c:pt idx="18">
                  <c:v>140895</c:v>
                </c:pt>
                <c:pt idx="19">
                  <c:v>145036</c:v>
                </c:pt>
                <c:pt idx="20">
                  <c:v>136447</c:v>
                </c:pt>
                <c:pt idx="21">
                  <c:v>133663</c:v>
                </c:pt>
                <c:pt idx="22">
                  <c:v>138071</c:v>
                </c:pt>
                <c:pt idx="23">
                  <c:v>137059</c:v>
                </c:pt>
              </c:numCache>
            </c:numRef>
          </c:val>
          <c:extLst>
            <c:ext xmlns:c16="http://schemas.microsoft.com/office/drawing/2014/chart" uri="{C3380CC4-5D6E-409C-BE32-E72D297353CC}">
              <c16:uniqueId val="{00000000-BD2E-4FAB-9057-2535193B38DF}"/>
            </c:ext>
          </c:extLst>
        </c:ser>
        <c:ser>
          <c:idx val="1"/>
          <c:order val="1"/>
          <c:tx>
            <c:strRef>
              <c:f>'8.5.2'!$D$51</c:f>
              <c:strCache>
                <c:ptCount val="1"/>
                <c:pt idx="0">
                  <c:v> Unemployed</c:v>
                </c:pt>
              </c:strCache>
            </c:strRef>
          </c:tx>
          <c:spPr>
            <a:solidFill>
              <a:schemeClr val="accent2"/>
            </a:solidFill>
            <a:ln>
              <a:noFill/>
            </a:ln>
            <a:effectLst/>
          </c:spPr>
          <c:invertIfNegative val="0"/>
          <c:cat>
            <c:numRef>
              <c:f>'8.5.2'!$B$53:$B$77</c:f>
              <c:numCache>
                <c:formatCode>General</c:formatCod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cat>
          <c:val>
            <c:numRef>
              <c:f>'8.5.2'!$D$53:$D$77</c:f>
              <c:numCache>
                <c:formatCode>#,##0</c:formatCode>
                <c:ptCount val="24"/>
                <c:pt idx="0">
                  <c:v>7559</c:v>
                </c:pt>
                <c:pt idx="1">
                  <c:v>10699</c:v>
                </c:pt>
                <c:pt idx="2">
                  <c:v>9196</c:v>
                </c:pt>
                <c:pt idx="3">
                  <c:v>10475</c:v>
                </c:pt>
                <c:pt idx="4">
                  <c:v>12647</c:v>
                </c:pt>
                <c:pt idx="5">
                  <c:v>15226</c:v>
                </c:pt>
                <c:pt idx="6">
                  <c:v>15575</c:v>
                </c:pt>
                <c:pt idx="7">
                  <c:v>11239</c:v>
                </c:pt>
                <c:pt idx="8">
                  <c:v>7817</c:v>
                </c:pt>
                <c:pt idx="9">
                  <c:v>10262</c:v>
                </c:pt>
                <c:pt idx="10">
                  <c:v>14632</c:v>
                </c:pt>
                <c:pt idx="11">
                  <c:v>16695</c:v>
                </c:pt>
                <c:pt idx="12">
                  <c:v>14806</c:v>
                </c:pt>
                <c:pt idx="13">
                  <c:v>13082</c:v>
                </c:pt>
                <c:pt idx="14">
                  <c:v>12629</c:v>
                </c:pt>
                <c:pt idx="15">
                  <c:v>10413</c:v>
                </c:pt>
                <c:pt idx="16">
                  <c:v>11084</c:v>
                </c:pt>
                <c:pt idx="17">
                  <c:v>11973</c:v>
                </c:pt>
                <c:pt idx="18">
                  <c:v>9960</c:v>
                </c:pt>
                <c:pt idx="19">
                  <c:v>8374</c:v>
                </c:pt>
                <c:pt idx="20">
                  <c:v>10621</c:v>
                </c:pt>
                <c:pt idx="21">
                  <c:v>14369</c:v>
                </c:pt>
                <c:pt idx="22">
                  <c:v>11189</c:v>
                </c:pt>
                <c:pt idx="23">
                  <c:v>14277</c:v>
                </c:pt>
              </c:numCache>
            </c:numRef>
          </c:val>
          <c:extLst>
            <c:ext xmlns:c16="http://schemas.microsoft.com/office/drawing/2014/chart" uri="{C3380CC4-5D6E-409C-BE32-E72D297353CC}">
              <c16:uniqueId val="{00000001-BD2E-4FAB-9057-2535193B38DF}"/>
            </c:ext>
          </c:extLst>
        </c:ser>
        <c:ser>
          <c:idx val="2"/>
          <c:order val="2"/>
          <c:tx>
            <c:strRef>
              <c:f>'8.5.2'!$E$51</c:f>
              <c:strCache>
                <c:ptCount val="1"/>
                <c:pt idx="0">
                  <c:v>Discouraged workers</c:v>
                </c:pt>
              </c:strCache>
            </c:strRef>
          </c:tx>
          <c:spPr>
            <a:solidFill>
              <a:schemeClr val="accent3"/>
            </a:solidFill>
            <a:ln>
              <a:noFill/>
            </a:ln>
            <a:effectLst/>
          </c:spPr>
          <c:invertIfNegative val="0"/>
          <c:cat>
            <c:numRef>
              <c:f>'8.5.2'!$B$53:$B$77</c:f>
              <c:numCache>
                <c:formatCode>General</c:formatCod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cat>
          <c:val>
            <c:numRef>
              <c:f>'8.5.2'!$E$53:$E$77</c:f>
              <c:numCache>
                <c:formatCode>#,##0</c:formatCode>
                <c:ptCount val="24"/>
                <c:pt idx="0">
                  <c:v>8108</c:v>
                </c:pt>
                <c:pt idx="1">
                  <c:v>9257</c:v>
                </c:pt>
                <c:pt idx="2">
                  <c:v>7555</c:v>
                </c:pt>
                <c:pt idx="3">
                  <c:v>6605</c:v>
                </c:pt>
                <c:pt idx="4">
                  <c:v>5801</c:v>
                </c:pt>
                <c:pt idx="5" formatCode="General">
                  <c:v>0</c:v>
                </c:pt>
                <c:pt idx="6" formatCode="General">
                  <c:v>0</c:v>
                </c:pt>
                <c:pt idx="7" formatCode="General">
                  <c:v>0</c:v>
                </c:pt>
                <c:pt idx="8" formatCode="General">
                  <c:v>0</c:v>
                </c:pt>
                <c:pt idx="9">
                  <c:v>3904</c:v>
                </c:pt>
                <c:pt idx="10">
                  <c:v>6903</c:v>
                </c:pt>
                <c:pt idx="11">
                  <c:v>6838</c:v>
                </c:pt>
                <c:pt idx="12">
                  <c:v>6304</c:v>
                </c:pt>
                <c:pt idx="13">
                  <c:v>5713</c:v>
                </c:pt>
                <c:pt idx="14">
                  <c:v>7146</c:v>
                </c:pt>
                <c:pt idx="15">
                  <c:v>6700</c:v>
                </c:pt>
                <c:pt idx="16">
                  <c:v>4560</c:v>
                </c:pt>
                <c:pt idx="17">
                  <c:v>3195</c:v>
                </c:pt>
                <c:pt idx="18">
                  <c:v>5456</c:v>
                </c:pt>
                <c:pt idx="19">
                  <c:v>6476</c:v>
                </c:pt>
                <c:pt idx="20">
                  <c:v>6616</c:v>
                </c:pt>
                <c:pt idx="21">
                  <c:v>8584</c:v>
                </c:pt>
                <c:pt idx="22">
                  <c:v>6293</c:v>
                </c:pt>
                <c:pt idx="23">
                  <c:v>11655</c:v>
                </c:pt>
              </c:numCache>
            </c:numRef>
          </c:val>
          <c:extLst>
            <c:ext xmlns:c16="http://schemas.microsoft.com/office/drawing/2014/chart" uri="{C3380CC4-5D6E-409C-BE32-E72D297353CC}">
              <c16:uniqueId val="{00000002-BD2E-4FAB-9057-2535193B38DF}"/>
            </c:ext>
          </c:extLst>
        </c:ser>
        <c:dLbls>
          <c:showLegendKey val="0"/>
          <c:showVal val="0"/>
          <c:showCatName val="0"/>
          <c:showSerName val="0"/>
          <c:showPercent val="0"/>
          <c:showBubbleSize val="0"/>
        </c:dLbls>
        <c:gapWidth val="150"/>
        <c:overlap val="100"/>
        <c:axId val="128053248"/>
        <c:axId val="128055168"/>
      </c:barChart>
      <c:catAx>
        <c:axId val="12805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055168"/>
        <c:crosses val="autoZero"/>
        <c:auto val="1"/>
        <c:lblAlgn val="ctr"/>
        <c:lblOffset val="100"/>
        <c:noMultiLvlLbl val="0"/>
      </c:catAx>
      <c:valAx>
        <c:axId val="128055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053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 rate</a:t>
            </a:r>
          </a:p>
        </c:rich>
      </c:tx>
      <c:overlay val="0"/>
      <c:spPr>
        <a:noFill/>
        <a:ln>
          <a:noFill/>
        </a:ln>
        <a:effectLst/>
      </c:spPr>
    </c:title>
    <c:autoTitleDeleted val="0"/>
    <c:plotArea>
      <c:layout/>
      <c:lineChart>
        <c:grouping val="standard"/>
        <c:varyColors val="0"/>
        <c:ser>
          <c:idx val="0"/>
          <c:order val="0"/>
          <c:tx>
            <c:strRef>
              <c:f>'8.5.2'!$G$51</c:f>
              <c:strCache>
                <c:ptCount val="1"/>
                <c:pt idx="0">
                  <c:v>Unemploymentrate, relaxed definition</c:v>
                </c:pt>
              </c:strCache>
            </c:strRef>
          </c:tx>
          <c:spPr>
            <a:ln w="28575" cap="rnd">
              <a:solidFill>
                <a:srgbClr val="FF0000"/>
              </a:solidFill>
              <a:round/>
            </a:ln>
            <a:effectLst/>
          </c:spPr>
          <c:marker>
            <c:symbol val="none"/>
          </c:marker>
          <c:cat>
            <c:numRef>
              <c:f>'8.5.2'!$B$53:$B$77</c:f>
              <c:numCache>
                <c:formatCode>General</c:formatCod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cat>
          <c:val>
            <c:numRef>
              <c:f>'8.5.2'!$G$53:$G$77</c:f>
              <c:numCache>
                <c:formatCode>General</c:formatCode>
                <c:ptCount val="24"/>
                <c:pt idx="0">
                  <c:v>16</c:v>
                </c:pt>
                <c:pt idx="1">
                  <c:v>19</c:v>
                </c:pt>
                <c:pt idx="2">
                  <c:v>17</c:v>
                </c:pt>
                <c:pt idx="3">
                  <c:v>16</c:v>
                </c:pt>
                <c:pt idx="4">
                  <c:v>17</c:v>
                </c:pt>
                <c:pt idx="5">
                  <c:v>0</c:v>
                </c:pt>
                <c:pt idx="6">
                  <c:v>0</c:v>
                </c:pt>
                <c:pt idx="7">
                  <c:v>0</c:v>
                </c:pt>
                <c:pt idx="8">
                  <c:v>0</c:v>
                </c:pt>
                <c:pt idx="9">
                  <c:v>11</c:v>
                </c:pt>
                <c:pt idx="10">
                  <c:v>16</c:v>
                </c:pt>
                <c:pt idx="11">
                  <c:v>17</c:v>
                </c:pt>
                <c:pt idx="12">
                  <c:v>15</c:v>
                </c:pt>
                <c:pt idx="13">
                  <c:v>13</c:v>
                </c:pt>
                <c:pt idx="14">
                  <c:v>13</c:v>
                </c:pt>
                <c:pt idx="15">
                  <c:v>11</c:v>
                </c:pt>
                <c:pt idx="16">
                  <c:v>10</c:v>
                </c:pt>
                <c:pt idx="17">
                  <c:v>10</c:v>
                </c:pt>
                <c:pt idx="18">
                  <c:v>10</c:v>
                </c:pt>
                <c:pt idx="19">
                  <c:v>9</c:v>
                </c:pt>
                <c:pt idx="20">
                  <c:v>11</c:v>
                </c:pt>
                <c:pt idx="21">
                  <c:v>15</c:v>
                </c:pt>
                <c:pt idx="22">
                  <c:v>11</c:v>
                </c:pt>
                <c:pt idx="23">
                  <c:v>16</c:v>
                </c:pt>
              </c:numCache>
            </c:numRef>
          </c:val>
          <c:smooth val="0"/>
          <c:extLst>
            <c:ext xmlns:c16="http://schemas.microsoft.com/office/drawing/2014/chart" uri="{C3380CC4-5D6E-409C-BE32-E72D297353CC}">
              <c16:uniqueId val="{00000000-63F4-4333-89C9-DF621F267EF3}"/>
            </c:ext>
          </c:extLst>
        </c:ser>
        <c:ser>
          <c:idx val="1"/>
          <c:order val="1"/>
          <c:tx>
            <c:strRef>
              <c:f>'8.5.2'!$F$51</c:f>
              <c:strCache>
                <c:ptCount val="1"/>
                <c:pt idx="0">
                  <c:v>Unemployment rate, strict definition</c:v>
                </c:pt>
              </c:strCache>
            </c:strRef>
          </c:tx>
          <c:spPr>
            <a:ln w="28575" cap="rnd">
              <a:solidFill>
                <a:srgbClr val="00B0F0"/>
              </a:solidFill>
              <a:round/>
            </a:ln>
            <a:effectLst/>
          </c:spPr>
          <c:marker>
            <c:symbol val="none"/>
          </c:marker>
          <c:cat>
            <c:numRef>
              <c:f>'8.5.2'!$B$53:$B$77</c:f>
              <c:numCache>
                <c:formatCode>General</c:formatCod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cat>
          <c:val>
            <c:numRef>
              <c:f>'8.5.2'!$F$53:$F$77</c:f>
              <c:numCache>
                <c:formatCode>General</c:formatCode>
                <c:ptCount val="24"/>
                <c:pt idx="0">
                  <c:v>8</c:v>
                </c:pt>
                <c:pt idx="1">
                  <c:v>11</c:v>
                </c:pt>
                <c:pt idx="2">
                  <c:v>10</c:v>
                </c:pt>
                <c:pt idx="3">
                  <c:v>11</c:v>
                </c:pt>
                <c:pt idx="4">
                  <c:v>12</c:v>
                </c:pt>
                <c:pt idx="5">
                  <c:v>14</c:v>
                </c:pt>
                <c:pt idx="6">
                  <c:v>14</c:v>
                </c:pt>
                <c:pt idx="7">
                  <c:v>10</c:v>
                </c:pt>
                <c:pt idx="8">
                  <c:v>7</c:v>
                </c:pt>
                <c:pt idx="9">
                  <c:v>8</c:v>
                </c:pt>
                <c:pt idx="10">
                  <c:v>11</c:v>
                </c:pt>
                <c:pt idx="11">
                  <c:v>12</c:v>
                </c:pt>
                <c:pt idx="12">
                  <c:v>11</c:v>
                </c:pt>
                <c:pt idx="13">
                  <c:v>9</c:v>
                </c:pt>
                <c:pt idx="14">
                  <c:v>9</c:v>
                </c:pt>
                <c:pt idx="15">
                  <c:v>7</c:v>
                </c:pt>
                <c:pt idx="16">
                  <c:v>8</c:v>
                </c:pt>
                <c:pt idx="17">
                  <c:v>8</c:v>
                </c:pt>
                <c:pt idx="18">
                  <c:v>7</c:v>
                </c:pt>
                <c:pt idx="19">
                  <c:v>5</c:v>
                </c:pt>
                <c:pt idx="20">
                  <c:v>7</c:v>
                </c:pt>
                <c:pt idx="21">
                  <c:v>10</c:v>
                </c:pt>
              </c:numCache>
            </c:numRef>
          </c:val>
          <c:smooth val="0"/>
          <c:extLst>
            <c:ext xmlns:c16="http://schemas.microsoft.com/office/drawing/2014/chart" uri="{C3380CC4-5D6E-409C-BE32-E72D297353CC}">
              <c16:uniqueId val="{00000002-63F4-4333-89C9-DF621F267EF3}"/>
            </c:ext>
          </c:extLst>
        </c:ser>
        <c:dLbls>
          <c:showLegendKey val="0"/>
          <c:showVal val="0"/>
          <c:showCatName val="0"/>
          <c:showSerName val="0"/>
          <c:showPercent val="0"/>
          <c:showBubbleSize val="0"/>
        </c:dLbls>
        <c:smooth val="0"/>
        <c:axId val="96631808"/>
        <c:axId val="96662272"/>
      </c:lineChart>
      <c:catAx>
        <c:axId val="9663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662272"/>
        <c:crosses val="autoZero"/>
        <c:auto val="1"/>
        <c:lblAlgn val="ctr"/>
        <c:lblOffset val="100"/>
        <c:noMultiLvlLbl val="0"/>
      </c:catAx>
      <c:valAx>
        <c:axId val="96662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63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5</xdr:col>
      <xdr:colOff>723900</xdr:colOff>
      <xdr:row>65</xdr:row>
      <xdr:rowOff>104775</xdr:rowOff>
    </xdr:from>
    <xdr:to>
      <xdr:col>15</xdr:col>
      <xdr:colOff>533400</xdr:colOff>
      <xdr:row>95</xdr:row>
      <xdr:rowOff>58420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6325" y="13706475"/>
          <a:ext cx="5972175" cy="6097270"/>
        </a:xfrm>
        <a:prstGeom prst="rect">
          <a:avLst/>
        </a:prstGeom>
        <a:noFill/>
        <a:ln>
          <a:noFill/>
        </a:ln>
      </xdr:spPr>
    </xdr:pic>
    <xdr:clientData/>
  </xdr:twoCellAnchor>
  <xdr:twoCellAnchor editAs="oneCell">
    <xdr:from>
      <xdr:col>1</xdr:col>
      <xdr:colOff>19051</xdr:colOff>
      <xdr:row>104</xdr:row>
      <xdr:rowOff>9525</xdr:rowOff>
    </xdr:from>
    <xdr:to>
      <xdr:col>9</xdr:col>
      <xdr:colOff>448482</xdr:colOff>
      <xdr:row>122</xdr:row>
      <xdr:rowOff>85724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628651" y="21469350"/>
          <a:ext cx="6287306" cy="350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190499</xdr:rowOff>
    </xdr:from>
    <xdr:to>
      <xdr:col>1</xdr:col>
      <xdr:colOff>5969391</xdr:colOff>
      <xdr:row>18</xdr:row>
      <xdr:rowOff>9524</xdr:rowOff>
    </xdr:to>
    <xdr:pic>
      <xdr:nvPicPr>
        <xdr:cNvPr id="2" name="Picture 1">
          <a:extLst>
            <a:ext uri="{FF2B5EF4-FFF2-40B4-BE49-F238E27FC236}">
              <a16:creationId xmlns:a16="http://schemas.microsoft.com/office/drawing/2014/main" id="{B40BA0FF-C752-94F9-B608-61D7B6581397}"/>
            </a:ext>
          </a:extLst>
        </xdr:cNvPr>
        <xdr:cNvPicPr>
          <a:picLocks noChangeAspect="1"/>
        </xdr:cNvPicPr>
      </xdr:nvPicPr>
      <xdr:blipFill>
        <a:blip xmlns:r="http://schemas.openxmlformats.org/officeDocument/2006/relationships" r:embed="rId1"/>
        <a:stretch>
          <a:fillRect/>
        </a:stretch>
      </xdr:blipFill>
      <xdr:spPr>
        <a:xfrm>
          <a:off x="3219449" y="2400299"/>
          <a:ext cx="5969391" cy="191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5</xdr:col>
      <xdr:colOff>625928</xdr:colOff>
      <xdr:row>57</xdr:row>
      <xdr:rowOff>60664</xdr:rowOff>
    </xdr:to>
    <xdr:pic>
      <xdr:nvPicPr>
        <xdr:cNvPr id="2" name="Picture 1">
          <a:extLst>
            <a:ext uri="{FF2B5EF4-FFF2-40B4-BE49-F238E27FC236}">
              <a16:creationId xmlns:a16="http://schemas.microsoft.com/office/drawing/2014/main" id="{E67FAFF2-0A93-EF45-3F8A-9BC4E8CB286C}"/>
            </a:ext>
          </a:extLst>
        </xdr:cNvPr>
        <xdr:cNvPicPr>
          <a:picLocks noChangeAspect="1"/>
        </xdr:cNvPicPr>
      </xdr:nvPicPr>
      <xdr:blipFill>
        <a:blip xmlns:r="http://schemas.openxmlformats.org/officeDocument/2006/relationships" r:embed="rId1"/>
        <a:stretch>
          <a:fillRect/>
        </a:stretch>
      </xdr:blipFill>
      <xdr:spPr>
        <a:xfrm>
          <a:off x="612321" y="10844893"/>
          <a:ext cx="8082643" cy="3870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647700</xdr:colOff>
      <xdr:row>151</xdr:row>
      <xdr:rowOff>48395</xdr:rowOff>
    </xdr:from>
    <xdr:to>
      <xdr:col>12</xdr:col>
      <xdr:colOff>323850</xdr:colOff>
      <xdr:row>163</xdr:row>
      <xdr:rowOff>63867</xdr:rowOff>
    </xdr:to>
    <xdr:pic>
      <xdr:nvPicPr>
        <xdr:cNvPr id="8" name="Picture 7">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7410450" y="32814395"/>
          <a:ext cx="4629150" cy="2968222"/>
        </a:xfrm>
        <a:prstGeom prst="rect">
          <a:avLst/>
        </a:prstGeom>
      </xdr:spPr>
    </xdr:pic>
    <xdr:clientData/>
  </xdr:twoCellAnchor>
  <xdr:twoCellAnchor editAs="oneCell">
    <xdr:from>
      <xdr:col>12</xdr:col>
      <xdr:colOff>466725</xdr:colOff>
      <xdr:row>151</xdr:row>
      <xdr:rowOff>44989</xdr:rowOff>
    </xdr:from>
    <xdr:to>
      <xdr:col>18</xdr:col>
      <xdr:colOff>1019175</xdr:colOff>
      <xdr:row>164</xdr:row>
      <xdr:rowOff>28574</xdr:rowOff>
    </xdr:to>
    <xdr:pic>
      <xdr:nvPicPr>
        <xdr:cNvPr id="9" name="Picture 8">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182475" y="32810989"/>
          <a:ext cx="5314950" cy="3126835"/>
        </a:xfrm>
        <a:prstGeom prst="rect">
          <a:avLst/>
        </a:prstGeom>
      </xdr:spPr>
    </xdr:pic>
    <xdr:clientData/>
  </xdr:twoCellAnchor>
  <xdr:twoCellAnchor editAs="oneCell">
    <xdr:from>
      <xdr:col>7</xdr:col>
      <xdr:colOff>333375</xdr:colOff>
      <xdr:row>140</xdr:row>
      <xdr:rowOff>46062</xdr:rowOff>
    </xdr:from>
    <xdr:to>
      <xdr:col>13</xdr:col>
      <xdr:colOff>847725</xdr:colOff>
      <xdr:row>149</xdr:row>
      <xdr:rowOff>115421</xdr:rowOff>
    </xdr:to>
    <xdr:pic>
      <xdr:nvPicPr>
        <xdr:cNvPr id="10" name="Picture 9">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7934325" y="30478437"/>
          <a:ext cx="5295900" cy="20219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61</xdr:row>
      <xdr:rowOff>46037</xdr:rowOff>
    </xdr:from>
    <xdr:to>
      <xdr:col>16</xdr:col>
      <xdr:colOff>517525</xdr:colOff>
      <xdr:row>73</xdr:row>
      <xdr:rowOff>190500</xdr:rowOff>
    </xdr:to>
    <xdr:graphicFrame macro="">
      <xdr:nvGraphicFramePr>
        <xdr:cNvPr id="3" name="Chart 2">
          <a:extLst>
            <a:ext uri="{FF2B5EF4-FFF2-40B4-BE49-F238E27FC236}">
              <a16:creationId xmlns:a16="http://schemas.microsoft.com/office/drawing/2014/main" id="{2BCF30E7-FBF3-1988-366E-3827AA27D0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42863</xdr:colOff>
      <xdr:row>49</xdr:row>
      <xdr:rowOff>44449</xdr:rowOff>
    </xdr:from>
    <xdr:to>
      <xdr:col>15</xdr:col>
      <xdr:colOff>71438</xdr:colOff>
      <xdr:row>60</xdr:row>
      <xdr:rowOff>31750</xdr:rowOff>
    </xdr:to>
    <xdr:graphicFrame macro="">
      <xdr:nvGraphicFramePr>
        <xdr:cNvPr id="4" name="Chart 3">
          <a:extLst>
            <a:ext uri="{FF2B5EF4-FFF2-40B4-BE49-F238E27FC236}">
              <a16:creationId xmlns:a16="http://schemas.microsoft.com/office/drawing/2014/main" id="{8057E6CF-6B9B-6AA2-B2A4-DCAF838DCB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59531</xdr:colOff>
      <xdr:row>56</xdr:row>
      <xdr:rowOff>71437</xdr:rowOff>
    </xdr:from>
    <xdr:to>
      <xdr:col>8</xdr:col>
      <xdr:colOff>226218</xdr:colOff>
      <xdr:row>100</xdr:row>
      <xdr:rowOff>16245</xdr:rowOff>
    </xdr:to>
    <xdr:pic>
      <xdr:nvPicPr>
        <xdr:cNvPr id="2" name="Picture 3">
          <a:extLst>
            <a:ext uri="{FF2B5EF4-FFF2-40B4-BE49-F238E27FC236}">
              <a16:creationId xmlns:a16="http://schemas.microsoft.com/office/drawing/2014/main" id="{00000000-0008-0000-1200-000003180000}"/>
            </a:ext>
          </a:extLst>
        </xdr:cNvPr>
        <xdr:cNvPicPr>
          <a:picLocks noChangeAspect="1" noChangeArrowheads="1"/>
        </xdr:cNvPicPr>
      </xdr:nvPicPr>
      <xdr:blipFill>
        <a:blip xmlns:r="http://schemas.openxmlformats.org/officeDocument/2006/relationships" r:embed="rId1"/>
        <a:srcRect l="34500" t="18777" r="34500" b="7000"/>
        <a:stretch>
          <a:fillRect/>
        </a:stretch>
      </xdr:blipFill>
      <xdr:spPr bwMode="auto">
        <a:xfrm>
          <a:off x="666750" y="16680656"/>
          <a:ext cx="6167437" cy="8326808"/>
        </a:xfrm>
        <a:prstGeom prst="rect">
          <a:avLst/>
        </a:prstGeom>
        <a:noFill/>
        <a:ln w="1">
          <a:noFill/>
          <a:miter lim="800000"/>
          <a:headEnd/>
          <a:tailEnd type="none" w="med" len="med"/>
        </a:ln>
        <a:effectLst/>
      </xdr:spPr>
    </xdr:pic>
    <xdr:clientData/>
  </xdr:twoCellAnchor>
  <xdr:twoCellAnchor editAs="oneCell">
    <xdr:from>
      <xdr:col>9</xdr:col>
      <xdr:colOff>0</xdr:colOff>
      <xdr:row>57</xdr:row>
      <xdr:rowOff>0</xdr:rowOff>
    </xdr:from>
    <xdr:to>
      <xdr:col>17</xdr:col>
      <xdr:colOff>547687</xdr:colOff>
      <xdr:row>102</xdr:row>
      <xdr:rowOff>15910</xdr:rowOff>
    </xdr:to>
    <xdr:pic>
      <xdr:nvPicPr>
        <xdr:cNvPr id="3" name="Picture 4">
          <a:extLst>
            <a:ext uri="{FF2B5EF4-FFF2-40B4-BE49-F238E27FC236}">
              <a16:creationId xmlns:a16="http://schemas.microsoft.com/office/drawing/2014/main" id="{00000000-0008-0000-1200-000004180000}"/>
            </a:ext>
          </a:extLst>
        </xdr:cNvPr>
        <xdr:cNvPicPr>
          <a:picLocks noChangeAspect="1" noChangeArrowheads="1"/>
        </xdr:cNvPicPr>
      </xdr:nvPicPr>
      <xdr:blipFill>
        <a:blip xmlns:r="http://schemas.openxmlformats.org/officeDocument/2006/relationships" r:embed="rId2"/>
        <a:srcRect l="35807" t="16285" r="37643" b="12214"/>
        <a:stretch>
          <a:fillRect/>
        </a:stretch>
      </xdr:blipFill>
      <xdr:spPr bwMode="auto">
        <a:xfrm>
          <a:off x="7215188" y="16799719"/>
          <a:ext cx="5655468" cy="858841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66675</xdr:colOff>
      <xdr:row>15</xdr:row>
      <xdr:rowOff>171450</xdr:rowOff>
    </xdr:from>
    <xdr:to>
      <xdr:col>5</xdr:col>
      <xdr:colOff>685017</xdr:colOff>
      <xdr:row>32</xdr:row>
      <xdr:rowOff>66675</xdr:rowOff>
    </xdr:to>
    <xdr:pic>
      <xdr:nvPicPr>
        <xdr:cNvPr id="1025" name="Picture 1">
          <a:extLst>
            <a:ext uri="{FF2B5EF4-FFF2-40B4-BE49-F238E27FC236}">
              <a16:creationId xmlns:a16="http://schemas.microsoft.com/office/drawing/2014/main" id="{00000000-0008-0000-1400-000001040000}"/>
            </a:ext>
          </a:extLst>
        </xdr:cNvPr>
        <xdr:cNvPicPr>
          <a:picLocks noChangeAspect="1" noChangeArrowheads="1"/>
        </xdr:cNvPicPr>
      </xdr:nvPicPr>
      <xdr:blipFill>
        <a:blip xmlns:r="http://schemas.openxmlformats.org/officeDocument/2006/relationships" r:embed="rId1"/>
        <a:srcRect l="29177" t="18178" r="30708" b="8928"/>
        <a:stretch>
          <a:fillRect/>
        </a:stretch>
      </xdr:blipFill>
      <xdr:spPr bwMode="auto">
        <a:xfrm>
          <a:off x="1285875" y="4048125"/>
          <a:ext cx="4771242" cy="4876800"/>
        </a:xfrm>
        <a:prstGeom prst="rect">
          <a:avLst/>
        </a:prstGeom>
        <a:noFill/>
        <a:ln w="1">
          <a:noFill/>
          <a:miter lim="800000"/>
          <a:headEnd/>
          <a:tailEnd type="none" w="med" len="med"/>
        </a:ln>
        <a:effectLst/>
      </xdr:spPr>
    </xdr:pic>
    <xdr:clientData/>
  </xdr:twoCellAnchor>
  <xdr:twoCellAnchor editAs="oneCell">
    <xdr:from>
      <xdr:col>1</xdr:col>
      <xdr:colOff>495300</xdr:colOff>
      <xdr:row>36</xdr:row>
      <xdr:rowOff>28575</xdr:rowOff>
    </xdr:from>
    <xdr:to>
      <xdr:col>5</xdr:col>
      <xdr:colOff>1933575</xdr:colOff>
      <xdr:row>63</xdr:row>
      <xdr:rowOff>123825</xdr:rowOff>
    </xdr:to>
    <xdr:pic>
      <xdr:nvPicPr>
        <xdr:cNvPr id="1026" name="Picture 2">
          <a:extLst>
            <a:ext uri="{FF2B5EF4-FFF2-40B4-BE49-F238E27FC236}">
              <a16:creationId xmlns:a16="http://schemas.microsoft.com/office/drawing/2014/main" id="{00000000-0008-0000-1400-000002040000}"/>
            </a:ext>
          </a:extLst>
        </xdr:cNvPr>
        <xdr:cNvPicPr>
          <a:picLocks noChangeAspect="1" noChangeArrowheads="1"/>
        </xdr:cNvPicPr>
      </xdr:nvPicPr>
      <xdr:blipFill>
        <a:blip xmlns:r="http://schemas.openxmlformats.org/officeDocument/2006/relationships" r:embed="rId2"/>
        <a:srcRect l="28437" t="20111" r="30875" b="18778"/>
        <a:stretch>
          <a:fillRect/>
        </a:stretch>
      </xdr:blipFill>
      <xdr:spPr bwMode="auto">
        <a:xfrm>
          <a:off x="1104900" y="8220075"/>
          <a:ext cx="6200775" cy="5238750"/>
        </a:xfrm>
        <a:prstGeom prst="rect">
          <a:avLst/>
        </a:prstGeom>
        <a:noFill/>
        <a:ln w="1">
          <a:noFill/>
          <a:miter lim="800000"/>
          <a:headEnd/>
          <a:tailEnd type="none" w="med" len="med"/>
        </a:ln>
        <a:effectLst/>
      </xdr:spPr>
    </xdr:pic>
    <xdr:clientData/>
  </xdr:twoCellAnchor>
  <xdr:twoCellAnchor editAs="oneCell">
    <xdr:from>
      <xdr:col>5</xdr:col>
      <xdr:colOff>2114550</xdr:colOff>
      <xdr:row>36</xdr:row>
      <xdr:rowOff>85725</xdr:rowOff>
    </xdr:from>
    <xdr:to>
      <xdr:col>9</xdr:col>
      <xdr:colOff>156114</xdr:colOff>
      <xdr:row>62</xdr:row>
      <xdr:rowOff>57150</xdr:rowOff>
    </xdr:to>
    <xdr:pic>
      <xdr:nvPicPr>
        <xdr:cNvPr id="1027" name="Picture 3">
          <a:extLst>
            <a:ext uri="{FF2B5EF4-FFF2-40B4-BE49-F238E27FC236}">
              <a16:creationId xmlns:a16="http://schemas.microsoft.com/office/drawing/2014/main" id="{00000000-0008-0000-1400-000003040000}"/>
            </a:ext>
          </a:extLst>
        </xdr:cNvPr>
        <xdr:cNvPicPr>
          <a:picLocks noChangeAspect="1" noChangeArrowheads="1"/>
        </xdr:cNvPicPr>
      </xdr:nvPicPr>
      <xdr:blipFill>
        <a:blip xmlns:r="http://schemas.openxmlformats.org/officeDocument/2006/relationships" r:embed="rId3"/>
        <a:srcRect l="27812" t="16334" r="27313" b="9000"/>
        <a:stretch>
          <a:fillRect/>
        </a:stretch>
      </xdr:blipFill>
      <xdr:spPr bwMode="auto">
        <a:xfrm>
          <a:off x="7486650" y="7581900"/>
          <a:ext cx="5261514" cy="4924425"/>
        </a:xfrm>
        <a:prstGeom prst="rect">
          <a:avLst/>
        </a:prstGeom>
        <a:noFill/>
        <a:ln w="1">
          <a:noFill/>
          <a:miter lim="800000"/>
          <a:headEnd/>
          <a:tailEnd type="none" w="med" len="med"/>
        </a:ln>
        <a:effectLst/>
      </xdr:spPr>
    </xdr:pic>
    <xdr:clientData/>
  </xdr:twoCellAnchor>
  <xdr:twoCellAnchor editAs="oneCell">
    <xdr:from>
      <xdr:col>5</xdr:col>
      <xdr:colOff>3466068</xdr:colOff>
      <xdr:row>63</xdr:row>
      <xdr:rowOff>104775</xdr:rowOff>
    </xdr:from>
    <xdr:to>
      <xdr:col>10</xdr:col>
      <xdr:colOff>200025</xdr:colOff>
      <xdr:row>74</xdr:row>
      <xdr:rowOff>76200</xdr:rowOff>
    </xdr:to>
    <xdr:pic>
      <xdr:nvPicPr>
        <xdr:cNvPr id="1028" name="Picture 4">
          <a:extLst>
            <a:ext uri="{FF2B5EF4-FFF2-40B4-BE49-F238E27FC236}">
              <a16:creationId xmlns:a16="http://schemas.microsoft.com/office/drawing/2014/main" id="{00000000-0008-0000-1400-000004040000}"/>
            </a:ext>
          </a:extLst>
        </xdr:cNvPr>
        <xdr:cNvPicPr>
          <a:picLocks noChangeAspect="1" noChangeArrowheads="1"/>
        </xdr:cNvPicPr>
      </xdr:nvPicPr>
      <xdr:blipFill>
        <a:blip xmlns:r="http://schemas.openxmlformats.org/officeDocument/2006/relationships" r:embed="rId4"/>
        <a:srcRect l="31312" t="21000" r="31789" b="9310"/>
        <a:stretch>
          <a:fillRect/>
        </a:stretch>
      </xdr:blipFill>
      <xdr:spPr bwMode="auto">
        <a:xfrm>
          <a:off x="8838168" y="13439775"/>
          <a:ext cx="4563507" cy="4848225"/>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xdr:colOff>
      <xdr:row>29</xdr:row>
      <xdr:rowOff>1</xdr:rowOff>
    </xdr:from>
    <xdr:to>
      <xdr:col>5</xdr:col>
      <xdr:colOff>504825</xdr:colOff>
      <xdr:row>39</xdr:row>
      <xdr:rowOff>1873</xdr:rowOff>
    </xdr:to>
    <xdr:pic>
      <xdr:nvPicPr>
        <xdr:cNvPr id="2" name="Picture 1">
          <a:extLst>
            <a:ext uri="{FF2B5EF4-FFF2-40B4-BE49-F238E27FC236}">
              <a16:creationId xmlns:a16="http://schemas.microsoft.com/office/drawing/2014/main" id="{13D784C6-BD20-124C-0BBB-1E9D6341879D}"/>
            </a:ext>
          </a:extLst>
        </xdr:cNvPr>
        <xdr:cNvPicPr>
          <a:picLocks noChangeAspect="1"/>
        </xdr:cNvPicPr>
      </xdr:nvPicPr>
      <xdr:blipFill>
        <a:blip xmlns:r="http://schemas.openxmlformats.org/officeDocument/2006/relationships" r:embed="rId1"/>
        <a:stretch>
          <a:fillRect/>
        </a:stretch>
      </xdr:blipFill>
      <xdr:spPr>
        <a:xfrm>
          <a:off x="1219201" y="6324601"/>
          <a:ext cx="2971799" cy="1906872"/>
        </a:xfrm>
        <a:prstGeom prst="rect">
          <a:avLst/>
        </a:prstGeom>
      </xdr:spPr>
    </xdr:pic>
    <xdr:clientData/>
  </xdr:twoCellAnchor>
  <xdr:twoCellAnchor editAs="oneCell">
    <xdr:from>
      <xdr:col>2</xdr:col>
      <xdr:colOff>1</xdr:colOff>
      <xdr:row>39</xdr:row>
      <xdr:rowOff>0</xdr:rowOff>
    </xdr:from>
    <xdr:to>
      <xdr:col>5</xdr:col>
      <xdr:colOff>504825</xdr:colOff>
      <xdr:row>54</xdr:row>
      <xdr:rowOff>108355</xdr:rowOff>
    </xdr:to>
    <xdr:pic>
      <xdr:nvPicPr>
        <xdr:cNvPr id="3" name="Picture 2">
          <a:extLst>
            <a:ext uri="{FF2B5EF4-FFF2-40B4-BE49-F238E27FC236}">
              <a16:creationId xmlns:a16="http://schemas.microsoft.com/office/drawing/2014/main" id="{E4025FE5-06B5-2685-AD4B-A383A37E5F20}"/>
            </a:ext>
          </a:extLst>
        </xdr:cNvPr>
        <xdr:cNvPicPr>
          <a:picLocks noChangeAspect="1"/>
        </xdr:cNvPicPr>
      </xdr:nvPicPr>
      <xdr:blipFill>
        <a:blip xmlns:r="http://schemas.openxmlformats.org/officeDocument/2006/relationships" r:embed="rId2"/>
        <a:stretch>
          <a:fillRect/>
        </a:stretch>
      </xdr:blipFill>
      <xdr:spPr>
        <a:xfrm>
          <a:off x="1219201" y="8229600"/>
          <a:ext cx="2971799" cy="2965855"/>
        </a:xfrm>
        <a:prstGeom prst="rect">
          <a:avLst/>
        </a:prstGeom>
      </xdr:spPr>
    </xdr:pic>
    <xdr:clientData/>
  </xdr:twoCellAnchor>
  <xdr:twoCellAnchor editAs="oneCell">
    <xdr:from>
      <xdr:col>1</xdr:col>
      <xdr:colOff>600076</xdr:colOff>
      <xdr:row>54</xdr:row>
      <xdr:rowOff>85725</xdr:rowOff>
    </xdr:from>
    <xdr:to>
      <xdr:col>5</xdr:col>
      <xdr:colOff>495300</xdr:colOff>
      <xdr:row>65</xdr:row>
      <xdr:rowOff>49424</xdr:rowOff>
    </xdr:to>
    <xdr:pic>
      <xdr:nvPicPr>
        <xdr:cNvPr id="4" name="Picture 3">
          <a:extLst>
            <a:ext uri="{FF2B5EF4-FFF2-40B4-BE49-F238E27FC236}">
              <a16:creationId xmlns:a16="http://schemas.microsoft.com/office/drawing/2014/main" id="{23FD96E1-F14B-B151-F16A-212881703290}"/>
            </a:ext>
          </a:extLst>
        </xdr:cNvPr>
        <xdr:cNvPicPr>
          <a:picLocks noChangeAspect="1"/>
        </xdr:cNvPicPr>
      </xdr:nvPicPr>
      <xdr:blipFill>
        <a:blip xmlns:r="http://schemas.openxmlformats.org/officeDocument/2006/relationships" r:embed="rId3"/>
        <a:stretch>
          <a:fillRect/>
        </a:stretch>
      </xdr:blipFill>
      <xdr:spPr>
        <a:xfrm>
          <a:off x="1209676" y="11172825"/>
          <a:ext cx="2971799" cy="2059199"/>
        </a:xfrm>
        <a:prstGeom prst="rect">
          <a:avLst/>
        </a:prstGeom>
      </xdr:spPr>
    </xdr:pic>
    <xdr:clientData/>
  </xdr:twoCellAnchor>
  <xdr:twoCellAnchor editAs="oneCell">
    <xdr:from>
      <xdr:col>5</xdr:col>
      <xdr:colOff>1164433</xdr:colOff>
      <xdr:row>32</xdr:row>
      <xdr:rowOff>183358</xdr:rowOff>
    </xdr:from>
    <xdr:to>
      <xdr:col>13</xdr:col>
      <xdr:colOff>661108</xdr:colOff>
      <xdr:row>44</xdr:row>
      <xdr:rowOff>168697</xdr:rowOff>
    </xdr:to>
    <xdr:pic>
      <xdr:nvPicPr>
        <xdr:cNvPr id="5" name="Picture 4">
          <a:extLst>
            <a:ext uri="{FF2B5EF4-FFF2-40B4-BE49-F238E27FC236}">
              <a16:creationId xmlns:a16="http://schemas.microsoft.com/office/drawing/2014/main" id="{E5785AFC-811C-CA4B-55C8-320553FB1AB4}"/>
            </a:ext>
          </a:extLst>
        </xdr:cNvPr>
        <xdr:cNvPicPr>
          <a:picLocks noChangeAspect="1"/>
        </xdr:cNvPicPr>
      </xdr:nvPicPr>
      <xdr:blipFill>
        <a:blip xmlns:r="http://schemas.openxmlformats.org/officeDocument/2006/relationships" r:embed="rId4"/>
        <a:stretch>
          <a:fillRect/>
        </a:stretch>
      </xdr:blipFill>
      <xdr:spPr>
        <a:xfrm>
          <a:off x="4843464" y="7077077"/>
          <a:ext cx="6318957" cy="22713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583407</xdr:colOff>
      <xdr:row>3</xdr:row>
      <xdr:rowOff>19050</xdr:rowOff>
    </xdr:from>
    <xdr:to>
      <xdr:col>9</xdr:col>
      <xdr:colOff>287932</xdr:colOff>
      <xdr:row>12</xdr:row>
      <xdr:rowOff>85725</xdr:rowOff>
    </xdr:to>
    <xdr:pic>
      <xdr:nvPicPr>
        <xdr:cNvPr id="7169" name="Picture 1">
          <a:extLst>
            <a:ext uri="{FF2B5EF4-FFF2-40B4-BE49-F238E27FC236}">
              <a16:creationId xmlns:a16="http://schemas.microsoft.com/office/drawing/2014/main" id="{00000000-0008-0000-1900-0000011C0000}"/>
            </a:ext>
          </a:extLst>
        </xdr:cNvPr>
        <xdr:cNvPicPr>
          <a:picLocks noChangeAspect="1" noChangeArrowheads="1"/>
        </xdr:cNvPicPr>
      </xdr:nvPicPr>
      <xdr:blipFill>
        <a:blip xmlns:r="http://schemas.openxmlformats.org/officeDocument/2006/relationships" r:embed="rId1"/>
        <a:srcRect l="32000" t="17222" r="33750" b="8556"/>
        <a:stretch>
          <a:fillRect/>
        </a:stretch>
      </xdr:blipFill>
      <xdr:spPr bwMode="auto">
        <a:xfrm>
          <a:off x="9965532" y="1543050"/>
          <a:ext cx="4312244" cy="5281613"/>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jali\Download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2"/>
      <sheetName val="GOAL 1"/>
      <sheetName val="GOAL4"/>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D3" t="str">
            <v>UNSD Indicator Codes†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wto.org/english/res_e/booksp_e/a4tatglance2022_e.pdf" TargetMode="External"/><Relationship Id="rId3" Type="http://schemas.openxmlformats.org/officeDocument/2006/relationships/hyperlink" Target="https://statistics-suriname.org/wp-content/uploads/2019/05/Publicatie-Census-8-Volume-2-Onderwijs-Werkgelegenheid-en-Vervoer-Vruchtbaarheid-en-Sterfte-Gezondheid-en-Sport.pdf" TargetMode="External"/><Relationship Id="rId7" Type="http://schemas.openxmlformats.org/officeDocument/2006/relationships/hyperlink" Target="https://statistics-suriname.org/wp-content/uploads/2025/01/Statistisch-Jaarboek-Statistical-Yearbook-2020-2021-2022-dec-2023-corr-jan-2025.pdf" TargetMode="External"/><Relationship Id="rId2" Type="http://schemas.openxmlformats.org/officeDocument/2006/relationships/hyperlink" Target="https://statistics-suriname.org/wp-content/uploads/2019/05/Publicatie-Census-8-Volume-2-Onderwijs-Werkgelegenheid-en-Vervoer-Vruchtbaarheid-en-Sterfte-Gezondheid-en-Sport.pdf" TargetMode="External"/><Relationship Id="rId1" Type="http://schemas.openxmlformats.org/officeDocument/2006/relationships/hyperlink" Target="https://statistics-suriname.org/wp-content/uploads/2020/05/Huishoudens_Households-in-Suriname-2015-2018v1.pdf" TargetMode="External"/><Relationship Id="rId6" Type="http://schemas.openxmlformats.org/officeDocument/2006/relationships/hyperlink" Target="https://statistics-suriname.org/wp-content/uploads/2025/01/Statistisch-Jaarboek-Statistical-Yearbook-2020-2021-2022-dec-2023-corr-jan-2025.pdf" TargetMode="External"/><Relationship Id="rId5" Type="http://schemas.openxmlformats.org/officeDocument/2006/relationships/hyperlink" Target="https://statistics-suriname.org/wp-content/uploads/2021/09/BBP-SCHATTINGEN-2015-2020.pdf" TargetMode="External"/><Relationship Id="rId4" Type="http://schemas.openxmlformats.org/officeDocument/2006/relationships/hyperlink" Target="https://statistics-suriname.org/wp-content/uploads/2019/05/Publicatie-Census-8-Volume-2-Onderwijs-Werkgelegenheid-en-Vervoer-Vruchtbaarheid-en-Sterfte-Gezondheid-en-Sport.pdf" TargetMode="External"/><Relationship Id="rId9" Type="http://schemas.openxmlformats.org/officeDocument/2006/relationships/hyperlink" Target="https://sdmo.org/documenten/debtpack/CreditorDebtData2025.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dol.gov/sites/dolgov/files/ILAB/child_labor_reports/tda2023/Suriname.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dna.sr/wetgeving/surinaamse-wetten/wetten-na-2005/wet-omzetting-arbeidsovereenkomst-voor-bepaalde-tijd-naar-arbeidsovereenkomst-onbepaalde-tij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8" Type="http://schemas.openxmlformats.org/officeDocument/2006/relationships/hyperlink" Target="https://republicbanksr.com/" TargetMode="External"/><Relationship Id="rId13" Type="http://schemas.openxmlformats.org/officeDocument/2006/relationships/hyperlink" Target="https://hakrinbank.com/" TargetMode="External"/><Relationship Id="rId18" Type="http://schemas.openxmlformats.org/officeDocument/2006/relationships/hyperlink" Target="http://www.scbbank.sr/" TargetMode="External"/><Relationship Id="rId3" Type="http://schemas.openxmlformats.org/officeDocument/2006/relationships/hyperlink" Target="mailto:customercare@finabanknv.com" TargetMode="External"/><Relationship Id="rId21" Type="http://schemas.openxmlformats.org/officeDocument/2006/relationships/hyperlink" Target="https://data.worldbank.org/indicator/FB.ATM.TOTL.P5?locations=SR" TargetMode="External"/><Relationship Id="rId7" Type="http://schemas.openxmlformats.org/officeDocument/2006/relationships/hyperlink" Target="http://www.dsb.sr/" TargetMode="External"/><Relationship Id="rId12" Type="http://schemas.openxmlformats.org/officeDocument/2006/relationships/hyperlink" Target="http://www.southcommbanknv.com/" TargetMode="External"/><Relationship Id="rId17" Type="http://schemas.openxmlformats.org/officeDocument/2006/relationships/hyperlink" Target="https://spsbbank.sr/" TargetMode="External"/><Relationship Id="rId2" Type="http://schemas.openxmlformats.org/officeDocument/2006/relationships/hyperlink" Target="mailto:customercare@finabanknv.com" TargetMode="External"/><Relationship Id="rId16" Type="http://schemas.openxmlformats.org/officeDocument/2006/relationships/hyperlink" Target="http://www.finabanknv.com/" TargetMode="External"/><Relationship Id="rId20"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mailto:customercare@finabanknv.com" TargetMode="External"/><Relationship Id="rId6" Type="http://schemas.openxmlformats.org/officeDocument/2006/relationships/hyperlink" Target="https://hakrinbank.com/" TargetMode="External"/><Relationship Id="rId11" Type="http://schemas.openxmlformats.org/officeDocument/2006/relationships/hyperlink" Target="http://www.scbbank.sr/" TargetMode="External"/><Relationship Id="rId5" Type="http://schemas.openxmlformats.org/officeDocument/2006/relationships/hyperlink" Target="mailto:info@godo.sr" TargetMode="External"/><Relationship Id="rId15" Type="http://schemas.openxmlformats.org/officeDocument/2006/relationships/hyperlink" Target="https://republicbanksr.com/" TargetMode="External"/><Relationship Id="rId10" Type="http://schemas.openxmlformats.org/officeDocument/2006/relationships/hyperlink" Target="https://spsbbank.sr/" TargetMode="External"/><Relationship Id="rId19" Type="http://schemas.openxmlformats.org/officeDocument/2006/relationships/hyperlink" Target="http://www.southcommbanknv.com/" TargetMode="External"/><Relationship Id="rId4" Type="http://schemas.openxmlformats.org/officeDocument/2006/relationships/hyperlink" Target="mailto:customercare@finabanknv.com" TargetMode="External"/><Relationship Id="rId9" Type="http://schemas.openxmlformats.org/officeDocument/2006/relationships/hyperlink" Target="http://www.finabanknv.com/" TargetMode="External"/><Relationship Id="rId14" Type="http://schemas.openxmlformats.org/officeDocument/2006/relationships/hyperlink" Target="http://www.dsb.sr/" TargetMode="External"/><Relationship Id="rId22"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hyperlink" Target="https://greenfinancelac.org/resources/news/suriname-and-the-world-bank-sign-novel-project-to-strengthen-resilience-against-environmental-shocks/" TargetMode="External"/><Relationship Id="rId7" Type="http://schemas.openxmlformats.org/officeDocument/2006/relationships/drawing" Target="../drawings/drawing8.xml"/><Relationship Id="rId2" Type="http://schemas.openxmlformats.org/officeDocument/2006/relationships/hyperlink" Target="https://www.wto.org/english/res_e/booksp_e/a4tatglance2022_e.pdf" TargetMode="External"/><Relationship Id="rId1" Type="http://schemas.openxmlformats.org/officeDocument/2006/relationships/hyperlink" Target="https://www.wto.org/english/res_e/booksp_e/a4tatglance2022_e.pdf" TargetMode="External"/><Relationship Id="rId6" Type="http://schemas.openxmlformats.org/officeDocument/2006/relationships/hyperlink" Target="https://sdmo.org/documenten/debtpack/CreditorDebtData2025.pdf" TargetMode="External"/><Relationship Id="rId5" Type="http://schemas.openxmlformats.org/officeDocument/2006/relationships/hyperlink" Target="https://data.worldbank.org/indicator/DT.ODA.ALLD.CD?locations=SR" TargetMode="External"/><Relationship Id="rId4" Type="http://schemas.openxmlformats.org/officeDocument/2006/relationships/hyperlink" Target="https://www.worldbank.org/en/news/press-release/2024/10/22/suriname-becomes-the-175th-member-of-the-world-bank-s-international-development-association"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normlex.ilo.org/dyn/nrmlx_en/f?p=1000:11200:0::NO:11200:P11200_COUNTRY_ID:103287" TargetMode="External"/><Relationship Id="rId1" Type="http://schemas.openxmlformats.org/officeDocument/2006/relationships/hyperlink" Target="https://normlex.ilo.org/dyn/nrmlx_en/f?p=1000:11210:0::NO:11210:P11210_COUNTRY_ID:103287"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dna.sr/wetgeving/ontwerpwetten-bij-dna/in-behandeling/ontwerpwet-wet-werktijdenregeling-2019/" TargetMode="External"/><Relationship Id="rId2" Type="http://schemas.openxmlformats.org/officeDocument/2006/relationships/hyperlink" Target="https://www.dna.sr/wetgeving/ontwerpwetten-bij-dna/in-behandeling/ontwerpwet-wet-ondernemingsraadpleging/" TargetMode="External"/><Relationship Id="rId1" Type="http://schemas.openxmlformats.org/officeDocument/2006/relationships/hyperlink" Target="https://www.dna.sr/wetgeving/ontwerpwetten-bij-dna/in-behandeling/ontwerpwet-arbeidsomstandighedenwet-2019/" TargetMode="External"/><Relationship Id="rId6" Type="http://schemas.openxmlformats.org/officeDocument/2006/relationships/hyperlink" Target="https://www.dna.sr/media/368414/SB_2022___137.PDF" TargetMode="External"/><Relationship Id="rId5" Type="http://schemas.openxmlformats.org/officeDocument/2006/relationships/hyperlink" Target="https://www.dna.sr/media/368463/SB_2022___136.PDF" TargetMode="External"/><Relationship Id="rId4" Type="http://schemas.openxmlformats.org/officeDocument/2006/relationships/hyperlink" Target="https://www.dna.sr/wetgeving/ontwerpwetten-bij-dna/in-behandeling/ontwerpwet-wijz-wet-werkvergunning-vreemdelingen-(sb-1981-no-62,-zoals-laatstelijk-gewijz-bij-sb-2002-no2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tatistics-suriname.org/wp-content/uploads/2024/09/NRsheet-2024-baseyear-2015-comb.pdf" TargetMode="External"/><Relationship Id="rId2" Type="http://schemas.openxmlformats.org/officeDocument/2006/relationships/hyperlink" Target="https://www.cbvs.sr/" TargetMode="External"/><Relationship Id="rId1" Type="http://schemas.openxmlformats.org/officeDocument/2006/relationships/hyperlink" Target="https://statistics-suriname.org/wp-content/uploads/2024/09/NRsheet-2024-baseyear-2015-comb.pdf" TargetMode="External"/><Relationship Id="rId5" Type="http://schemas.openxmlformats.org/officeDocument/2006/relationships/printerSettings" Target="../printerSettings/printerSettings1.bin"/><Relationship Id="rId4" Type="http://schemas.openxmlformats.org/officeDocument/2006/relationships/hyperlink" Target="https://www.cbvs.s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genda2030lac.org/estadisticas/regional-data-bank-statistical-follow-up-sdg-1.html?indicator_id=5108&amp;lang=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agenda2030lac.org/estadisticas/regional-data-bank-statistical-follow-up-sdg-1.html?indicator_id=5108&amp;lang=en" TargetMode="External"/><Relationship Id="rId2" Type="http://schemas.openxmlformats.org/officeDocument/2006/relationships/hyperlink" Target="https://agenda2030lac.org/estadisticas/regional-data-bank-statistical-follow-up-sdg-1.html?indicator_id=5108&amp;lang=en" TargetMode="External"/><Relationship Id="rId1" Type="http://schemas.openxmlformats.org/officeDocument/2006/relationships/hyperlink" Target="https://agenda2030lac.org/estadisticas/regional-data-bank-statistical-follow-up-sdg-1.html?indicator_id=5108&amp;lang=en" TargetMode="Externa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hyperlink" Target="https://statistics-suriname.org/wp-content/uploads/2025/01/Statistisch-Jaarboek-Statistical-Yearbook-2020-2021-2022-dec-2023-corr-jan-2025.pdf" TargetMode="External"/><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AD21"/>
  <sheetViews>
    <sheetView topLeftCell="B3" zoomScale="70" zoomScaleNormal="70" workbookViewId="0">
      <pane xSplit="4" ySplit="3" topLeftCell="H17" activePane="bottomRight" state="frozen"/>
      <selection pane="topRight" activeCell="F3" sqref="F3"/>
      <selection pane="bottomLeft" activeCell="B6" sqref="B6"/>
      <selection pane="bottomRight" activeCell="J21" sqref="J21"/>
    </sheetView>
  </sheetViews>
  <sheetFormatPr defaultRowHeight="15"/>
  <cols>
    <col min="1" max="1" width="9.140625" style="70"/>
    <col min="2" max="2" width="44.28515625" style="70" customWidth="1"/>
    <col min="3" max="3" width="34.140625" style="70" customWidth="1"/>
    <col min="4" max="4" width="9.140625" style="70" customWidth="1"/>
    <col min="5" max="5" width="52.140625" style="70" customWidth="1"/>
    <col min="6" max="6" width="9.140625" style="70" customWidth="1"/>
    <col min="7" max="7" width="7.42578125" style="70" customWidth="1"/>
    <col min="8" max="8" width="15.85546875" style="70" customWidth="1"/>
    <col min="9" max="9" width="9.140625" style="70" customWidth="1"/>
    <col min="10" max="10" width="11.42578125" style="70" customWidth="1"/>
    <col min="11" max="11" width="9.140625" style="70" customWidth="1"/>
    <col min="12" max="12" width="10.5703125" style="70" customWidth="1"/>
    <col min="13" max="13" width="9.140625" style="70" customWidth="1"/>
    <col min="14" max="14" width="12" style="70" customWidth="1"/>
    <col min="15" max="15" width="9.140625" style="70" customWidth="1"/>
    <col min="16" max="16" width="12.7109375" style="70" customWidth="1"/>
    <col min="17" max="17" width="9.140625" style="70" customWidth="1"/>
    <col min="18" max="18" width="10" style="70" customWidth="1"/>
    <col min="19" max="19" width="9.85546875" style="70" customWidth="1"/>
    <col min="20" max="20" width="10" style="70" customWidth="1"/>
    <col min="21" max="21" width="12.5703125" style="70" customWidth="1"/>
    <col min="22" max="22" width="10.42578125" style="70" customWidth="1"/>
    <col min="23" max="23" width="9.140625" style="70" customWidth="1"/>
    <col min="24" max="29" width="9.140625" style="70"/>
    <col min="30" max="30" width="11.140625" style="70" customWidth="1"/>
    <col min="31" max="16384" width="9.140625" style="70"/>
  </cols>
  <sheetData>
    <row r="3" spans="2:30">
      <c r="B3" s="462" t="s">
        <v>0</v>
      </c>
      <c r="C3" s="462"/>
      <c r="D3" s="462"/>
      <c r="E3" s="462"/>
      <c r="F3" s="140"/>
      <c r="G3" s="141"/>
      <c r="H3" s="141"/>
      <c r="I3" s="141"/>
      <c r="J3" s="141"/>
      <c r="K3" s="141"/>
      <c r="L3" s="141"/>
      <c r="M3" s="141"/>
      <c r="N3" s="141"/>
      <c r="O3" s="141"/>
      <c r="P3" s="141"/>
      <c r="Q3" s="141"/>
      <c r="R3" s="141"/>
      <c r="S3" s="141"/>
      <c r="T3" s="142"/>
      <c r="U3" s="142"/>
      <c r="V3" s="142"/>
      <c r="W3" s="140"/>
      <c r="X3" s="463" t="s">
        <v>1</v>
      </c>
      <c r="Y3" s="463"/>
      <c r="Z3" s="463"/>
      <c r="AA3" s="463" t="s">
        <v>2</v>
      </c>
      <c r="AB3" s="463"/>
      <c r="AC3" s="140"/>
      <c r="AD3" s="140"/>
    </row>
    <row r="4" spans="2:30" ht="38.25" customHeight="1">
      <c r="B4" s="472" t="s">
        <v>3</v>
      </c>
      <c r="C4" s="472" t="s">
        <v>4</v>
      </c>
      <c r="D4" s="464">
        <f>'[1]A.RES.71.313 Annex'!E2</f>
        <v>0</v>
      </c>
      <c r="E4" s="143" t="s">
        <v>5</v>
      </c>
      <c r="F4" s="464" t="s">
        <v>6</v>
      </c>
      <c r="G4" s="144" t="s">
        <v>7</v>
      </c>
      <c r="H4" s="145" t="s">
        <v>8</v>
      </c>
      <c r="I4" s="465" t="s">
        <v>9</v>
      </c>
      <c r="J4" s="465"/>
      <c r="K4" s="465"/>
      <c r="L4" s="465"/>
      <c r="M4" s="465" t="s">
        <v>10</v>
      </c>
      <c r="N4" s="465"/>
      <c r="O4" s="465"/>
      <c r="P4" s="465" t="s">
        <v>11</v>
      </c>
      <c r="Q4" s="465"/>
      <c r="R4" s="144" t="s">
        <v>12</v>
      </c>
      <c r="S4" s="466" t="s">
        <v>13</v>
      </c>
      <c r="T4" s="461" t="s">
        <v>14</v>
      </c>
      <c r="U4" s="467" t="s">
        <v>15</v>
      </c>
      <c r="V4" s="467" t="s">
        <v>16</v>
      </c>
      <c r="W4" s="463" t="s">
        <v>17</v>
      </c>
      <c r="X4" s="469" t="s">
        <v>18</v>
      </c>
      <c r="Y4" s="469" t="s">
        <v>19</v>
      </c>
      <c r="Z4" s="467" t="s">
        <v>20</v>
      </c>
      <c r="AA4" s="467" t="s">
        <v>21</v>
      </c>
      <c r="AB4" s="467" t="s">
        <v>22</v>
      </c>
      <c r="AC4" s="461" t="s">
        <v>23</v>
      </c>
      <c r="AD4" s="460" t="s">
        <v>24</v>
      </c>
    </row>
    <row r="5" spans="2:30" ht="38.25">
      <c r="B5" s="473"/>
      <c r="C5" s="473"/>
      <c r="D5" s="464"/>
      <c r="E5" s="146"/>
      <c r="F5" s="464"/>
      <c r="G5" s="147"/>
      <c r="H5" s="146" t="s">
        <v>25</v>
      </c>
      <c r="I5" s="147" t="s">
        <v>26</v>
      </c>
      <c r="J5" s="148" t="s">
        <v>27</v>
      </c>
      <c r="K5" s="148" t="s">
        <v>28</v>
      </c>
      <c r="L5" s="147" t="s">
        <v>29</v>
      </c>
      <c r="M5" s="147" t="s">
        <v>30</v>
      </c>
      <c r="N5" s="147" t="s">
        <v>31</v>
      </c>
      <c r="O5" s="147" t="s">
        <v>32</v>
      </c>
      <c r="P5" s="147" t="s">
        <v>33</v>
      </c>
      <c r="Q5" s="147" t="s">
        <v>34</v>
      </c>
      <c r="R5" s="147" t="s">
        <v>35</v>
      </c>
      <c r="S5" s="466"/>
      <c r="T5" s="461"/>
      <c r="U5" s="467"/>
      <c r="V5" s="467"/>
      <c r="W5" s="463"/>
      <c r="X5" s="470"/>
      <c r="Y5" s="470"/>
      <c r="Z5" s="467"/>
      <c r="AA5" s="467"/>
      <c r="AB5" s="467"/>
      <c r="AC5" s="461"/>
      <c r="AD5" s="460"/>
    </row>
    <row r="6" spans="2:30" ht="78.75" customHeight="1">
      <c r="B6" s="149" t="s">
        <v>36</v>
      </c>
      <c r="C6" s="150" t="s">
        <v>37</v>
      </c>
      <c r="D6" s="149" t="s">
        <v>38</v>
      </c>
      <c r="E6" s="72" t="s">
        <v>39</v>
      </c>
      <c r="F6" s="140"/>
      <c r="G6" s="73" t="s">
        <v>40</v>
      </c>
      <c r="H6" s="141">
        <v>2</v>
      </c>
      <c r="I6" s="141" t="s">
        <v>41</v>
      </c>
      <c r="J6" s="141"/>
      <c r="K6" s="151" t="s">
        <v>42</v>
      </c>
      <c r="L6" s="151" t="s">
        <v>43</v>
      </c>
      <c r="M6" s="141" t="s">
        <v>44</v>
      </c>
      <c r="N6" s="141" t="s">
        <v>45</v>
      </c>
      <c r="O6" s="141"/>
      <c r="P6" s="141"/>
      <c r="Q6" s="152" t="s">
        <v>46</v>
      </c>
      <c r="R6" s="151" t="s">
        <v>47</v>
      </c>
      <c r="S6" s="141" t="s">
        <v>48</v>
      </c>
      <c r="T6" s="142">
        <v>1</v>
      </c>
      <c r="U6" s="153" t="s">
        <v>49</v>
      </c>
      <c r="V6" s="142" t="s">
        <v>50</v>
      </c>
      <c r="W6" s="74" t="s">
        <v>51</v>
      </c>
      <c r="X6" s="140">
        <v>0</v>
      </c>
      <c r="Y6" s="140">
        <v>1</v>
      </c>
      <c r="Z6" s="140">
        <v>1</v>
      </c>
      <c r="AA6" s="140">
        <v>1</v>
      </c>
      <c r="AB6" s="128">
        <v>0</v>
      </c>
      <c r="AC6" s="154">
        <f t="shared" ref="AC6:AC21" si="0">(X6+Y6+Z6+AA6+AB6+H6+T6)</f>
        <v>6</v>
      </c>
      <c r="AD6" s="140"/>
    </row>
    <row r="7" spans="2:30" ht="78.75" customHeight="1">
      <c r="B7" s="149" t="s">
        <v>52</v>
      </c>
      <c r="C7" s="150" t="s">
        <v>53</v>
      </c>
      <c r="D7" s="149" t="s">
        <v>54</v>
      </c>
      <c r="E7" s="155" t="s">
        <v>55</v>
      </c>
      <c r="F7" s="140"/>
      <c r="G7" s="73" t="s">
        <v>40</v>
      </c>
      <c r="H7" s="141">
        <v>2</v>
      </c>
      <c r="I7" s="141" t="s">
        <v>41</v>
      </c>
      <c r="J7" s="141"/>
      <c r="K7" s="151" t="s">
        <v>42</v>
      </c>
      <c r="L7" s="151" t="s">
        <v>56</v>
      </c>
      <c r="M7" s="141" t="s">
        <v>44</v>
      </c>
      <c r="N7" s="141" t="s">
        <v>45</v>
      </c>
      <c r="O7" s="141" t="s">
        <v>57</v>
      </c>
      <c r="P7" s="141"/>
      <c r="Q7" s="152" t="s">
        <v>58</v>
      </c>
      <c r="R7" s="151">
        <v>2023</v>
      </c>
      <c r="S7" s="141" t="s">
        <v>48</v>
      </c>
      <c r="T7" s="142">
        <v>1</v>
      </c>
      <c r="U7" s="153" t="s">
        <v>59</v>
      </c>
      <c r="V7" s="142"/>
      <c r="W7" s="74" t="s">
        <v>1472</v>
      </c>
      <c r="X7" s="140">
        <v>0</v>
      </c>
      <c r="Y7" s="140">
        <v>1</v>
      </c>
      <c r="Z7" s="140">
        <v>1</v>
      </c>
      <c r="AA7" s="140">
        <v>1</v>
      </c>
      <c r="AB7" s="128">
        <v>1</v>
      </c>
      <c r="AC7" s="154">
        <f t="shared" si="0"/>
        <v>7</v>
      </c>
      <c r="AD7" s="140"/>
    </row>
    <row r="8" spans="2:30" ht="78.75" customHeight="1">
      <c r="B8" s="149" t="s">
        <v>60</v>
      </c>
      <c r="C8" s="150" t="s">
        <v>61</v>
      </c>
      <c r="D8" s="149" t="s">
        <v>62</v>
      </c>
      <c r="E8" s="72" t="s">
        <v>63</v>
      </c>
      <c r="F8" s="140"/>
      <c r="G8" s="73" t="s">
        <v>64</v>
      </c>
      <c r="H8" s="141">
        <v>2</v>
      </c>
      <c r="I8" s="151"/>
      <c r="J8" s="141"/>
      <c r="K8" s="141" t="s">
        <v>65</v>
      </c>
      <c r="L8" s="141"/>
      <c r="M8" s="141"/>
      <c r="N8" s="141" t="s">
        <v>66</v>
      </c>
      <c r="O8" s="141"/>
      <c r="P8" s="141"/>
      <c r="Q8" s="141"/>
      <c r="R8" s="141">
        <v>2025</v>
      </c>
      <c r="S8" s="141" t="s">
        <v>48</v>
      </c>
      <c r="T8" s="142">
        <v>1</v>
      </c>
      <c r="U8" s="153" t="s">
        <v>67</v>
      </c>
      <c r="V8" s="142" t="s">
        <v>45</v>
      </c>
      <c r="W8" s="74" t="s">
        <v>68</v>
      </c>
      <c r="X8" s="140">
        <v>0</v>
      </c>
      <c r="Y8" s="140">
        <v>1</v>
      </c>
      <c r="Z8" s="140">
        <v>1</v>
      </c>
      <c r="AA8" s="140">
        <v>1</v>
      </c>
      <c r="AB8" s="128">
        <v>1</v>
      </c>
      <c r="AC8" s="154">
        <f t="shared" si="0"/>
        <v>7</v>
      </c>
      <c r="AD8" s="140"/>
    </row>
    <row r="9" spans="2:30" ht="59.25" customHeight="1">
      <c r="B9" s="468" t="s">
        <v>69</v>
      </c>
      <c r="C9" s="150" t="s">
        <v>70</v>
      </c>
      <c r="D9" s="149" t="s">
        <v>71</v>
      </c>
      <c r="E9" s="471" t="s">
        <v>72</v>
      </c>
      <c r="F9" s="140"/>
      <c r="G9" s="73" t="s">
        <v>64</v>
      </c>
      <c r="H9" s="141">
        <v>0</v>
      </c>
      <c r="I9" s="141"/>
      <c r="J9" s="141"/>
      <c r="K9" s="141"/>
      <c r="L9" s="141"/>
      <c r="M9" s="141"/>
      <c r="N9" s="141"/>
      <c r="O9" s="141"/>
      <c r="P9" s="141"/>
      <c r="Q9" s="141"/>
      <c r="R9" s="141"/>
      <c r="S9" s="141"/>
      <c r="T9" s="142">
        <v>0</v>
      </c>
      <c r="U9" s="142"/>
      <c r="V9" s="142"/>
      <c r="W9" s="74" t="s">
        <v>73</v>
      </c>
      <c r="X9" s="140">
        <v>0</v>
      </c>
      <c r="Y9" s="140">
        <v>0</v>
      </c>
      <c r="Z9" s="140">
        <v>0</v>
      </c>
      <c r="AA9" s="140">
        <v>0</v>
      </c>
      <c r="AB9" s="128">
        <v>0</v>
      </c>
      <c r="AC9" s="154">
        <f t="shared" si="0"/>
        <v>0</v>
      </c>
      <c r="AD9" s="153"/>
    </row>
    <row r="10" spans="2:30" ht="50.25" customHeight="1">
      <c r="B10" s="468"/>
      <c r="C10" s="150" t="s">
        <v>74</v>
      </c>
      <c r="D10" s="149" t="s">
        <v>75</v>
      </c>
      <c r="E10" s="471"/>
      <c r="F10" s="140"/>
      <c r="G10" s="73" t="s">
        <v>40</v>
      </c>
      <c r="H10" s="141">
        <v>1</v>
      </c>
      <c r="I10" s="141" t="s">
        <v>76</v>
      </c>
      <c r="J10" s="141"/>
      <c r="K10" s="141"/>
      <c r="L10" s="141"/>
      <c r="M10" s="141"/>
      <c r="N10" s="141"/>
      <c r="O10" s="141"/>
      <c r="P10" s="152" t="s">
        <v>58</v>
      </c>
      <c r="Q10" s="141"/>
      <c r="R10" s="141">
        <v>2022</v>
      </c>
      <c r="S10" s="141"/>
      <c r="T10" s="142">
        <v>0</v>
      </c>
      <c r="U10" s="153" t="s">
        <v>77</v>
      </c>
      <c r="V10" s="142"/>
      <c r="W10" s="74" t="s">
        <v>78</v>
      </c>
      <c r="X10" s="140">
        <v>0</v>
      </c>
      <c r="Y10" s="140">
        <v>0</v>
      </c>
      <c r="Z10" s="140">
        <v>0</v>
      </c>
      <c r="AA10" s="140">
        <v>0</v>
      </c>
      <c r="AB10" s="128">
        <v>0</v>
      </c>
      <c r="AC10" s="154">
        <f t="shared" si="0"/>
        <v>1</v>
      </c>
      <c r="AD10" s="153" t="s">
        <v>79</v>
      </c>
    </row>
    <row r="11" spans="2:30" ht="48.75" customHeight="1">
      <c r="B11" s="468" t="s">
        <v>80</v>
      </c>
      <c r="C11" s="150" t="s">
        <v>81</v>
      </c>
      <c r="D11" s="149" t="s">
        <v>82</v>
      </c>
      <c r="E11" s="149" t="s">
        <v>83</v>
      </c>
      <c r="F11" s="140"/>
      <c r="G11" s="73" t="s">
        <v>64</v>
      </c>
      <c r="H11" s="141">
        <v>2</v>
      </c>
      <c r="I11" s="141"/>
      <c r="J11" s="151" t="s">
        <v>84</v>
      </c>
      <c r="K11" s="141"/>
      <c r="L11" s="141"/>
      <c r="M11" s="141" t="s">
        <v>44</v>
      </c>
      <c r="N11" s="141" t="s">
        <v>85</v>
      </c>
      <c r="O11" s="141"/>
      <c r="P11" s="152" t="s">
        <v>86</v>
      </c>
      <c r="Q11" s="156" t="s">
        <v>87</v>
      </c>
      <c r="R11" s="141" t="s">
        <v>88</v>
      </c>
      <c r="S11" s="151" t="s">
        <v>97</v>
      </c>
      <c r="T11" s="142">
        <v>1</v>
      </c>
      <c r="U11" s="153" t="s">
        <v>89</v>
      </c>
      <c r="V11" s="142" t="s">
        <v>90</v>
      </c>
      <c r="W11" s="74" t="s">
        <v>91</v>
      </c>
      <c r="X11" s="140">
        <v>1</v>
      </c>
      <c r="Y11" s="140">
        <v>1</v>
      </c>
      <c r="Z11" s="140">
        <v>1</v>
      </c>
      <c r="AA11" s="140">
        <v>1</v>
      </c>
      <c r="AB11" s="128">
        <v>1</v>
      </c>
      <c r="AC11" s="154">
        <f t="shared" si="0"/>
        <v>8</v>
      </c>
      <c r="AD11" s="149" t="s">
        <v>92</v>
      </c>
    </row>
    <row r="12" spans="2:30" ht="51" customHeight="1">
      <c r="B12" s="468"/>
      <c r="C12" s="150" t="s">
        <v>93</v>
      </c>
      <c r="D12" s="149" t="s">
        <v>94</v>
      </c>
      <c r="E12" s="72" t="s">
        <v>95</v>
      </c>
      <c r="F12" s="140"/>
      <c r="G12" s="73" t="s">
        <v>40</v>
      </c>
      <c r="H12" s="141">
        <v>2</v>
      </c>
      <c r="I12" s="141"/>
      <c r="J12" s="151" t="s">
        <v>84</v>
      </c>
      <c r="K12" s="141"/>
      <c r="L12" s="141"/>
      <c r="M12" s="141" t="s">
        <v>44</v>
      </c>
      <c r="N12" s="141" t="s">
        <v>85</v>
      </c>
      <c r="O12" s="141"/>
      <c r="P12" s="152" t="s">
        <v>86</v>
      </c>
      <c r="Q12" s="157" t="s">
        <v>87</v>
      </c>
      <c r="R12" s="151" t="s">
        <v>96</v>
      </c>
      <c r="S12" s="141" t="s">
        <v>97</v>
      </c>
      <c r="T12" s="142">
        <v>1</v>
      </c>
      <c r="U12" s="153" t="s">
        <v>98</v>
      </c>
      <c r="V12" s="142" t="s">
        <v>90</v>
      </c>
      <c r="W12" s="74" t="s">
        <v>91</v>
      </c>
      <c r="X12" s="140">
        <v>1</v>
      </c>
      <c r="Y12" s="140">
        <v>1</v>
      </c>
      <c r="Z12" s="140">
        <v>1</v>
      </c>
      <c r="AA12" s="140">
        <v>1</v>
      </c>
      <c r="AB12" s="128">
        <v>0</v>
      </c>
      <c r="AC12" s="154">
        <f t="shared" si="0"/>
        <v>7</v>
      </c>
      <c r="AD12" s="149" t="s">
        <v>92</v>
      </c>
    </row>
    <row r="13" spans="2:30" ht="72.75" customHeight="1">
      <c r="B13" s="149" t="s">
        <v>99</v>
      </c>
      <c r="C13" s="150" t="s">
        <v>100</v>
      </c>
      <c r="D13" s="149" t="s">
        <v>101</v>
      </c>
      <c r="E13" s="72" t="s">
        <v>102</v>
      </c>
      <c r="F13" s="140"/>
      <c r="G13" s="73" t="s">
        <v>40</v>
      </c>
      <c r="H13" s="141">
        <v>2</v>
      </c>
      <c r="I13" s="141"/>
      <c r="J13" s="151" t="s">
        <v>84</v>
      </c>
      <c r="K13" s="141"/>
      <c r="L13" s="141"/>
      <c r="M13" s="141" t="s">
        <v>44</v>
      </c>
      <c r="N13" s="141" t="s">
        <v>85</v>
      </c>
      <c r="O13" s="141"/>
      <c r="P13" s="152" t="s">
        <v>86</v>
      </c>
      <c r="Q13" s="152" t="s">
        <v>103</v>
      </c>
      <c r="R13" s="141" t="s">
        <v>104</v>
      </c>
      <c r="S13" s="141" t="s">
        <v>97</v>
      </c>
      <c r="T13" s="142">
        <v>1</v>
      </c>
      <c r="U13" s="153" t="s">
        <v>105</v>
      </c>
      <c r="V13" s="142" t="s">
        <v>90</v>
      </c>
      <c r="W13" s="74" t="s">
        <v>91</v>
      </c>
      <c r="X13" s="140">
        <v>1</v>
      </c>
      <c r="Y13" s="140">
        <v>1</v>
      </c>
      <c r="Z13" s="140">
        <v>1</v>
      </c>
      <c r="AA13" s="140">
        <v>1</v>
      </c>
      <c r="AB13" s="128">
        <v>1</v>
      </c>
      <c r="AC13" s="154">
        <f t="shared" si="0"/>
        <v>8</v>
      </c>
      <c r="AD13" s="149" t="s">
        <v>92</v>
      </c>
    </row>
    <row r="14" spans="2:30" ht="78.75" customHeight="1">
      <c r="B14" s="149" t="s">
        <v>106</v>
      </c>
      <c r="C14" s="150" t="s">
        <v>107</v>
      </c>
      <c r="D14" s="149" t="s">
        <v>108</v>
      </c>
      <c r="E14" s="72" t="s">
        <v>109</v>
      </c>
      <c r="F14" s="140"/>
      <c r="G14" s="73" t="s">
        <v>64</v>
      </c>
      <c r="H14" s="141">
        <v>2</v>
      </c>
      <c r="I14" s="141"/>
      <c r="J14" s="151" t="s">
        <v>1473</v>
      </c>
      <c r="K14" s="141" t="s">
        <v>110</v>
      </c>
      <c r="L14" s="141"/>
      <c r="M14" s="141"/>
      <c r="N14" s="141" t="s">
        <v>111</v>
      </c>
      <c r="O14" s="141"/>
      <c r="P14" s="141"/>
      <c r="Q14" s="141"/>
      <c r="R14" s="141">
        <v>2022</v>
      </c>
      <c r="S14" s="151" t="s">
        <v>97</v>
      </c>
      <c r="T14" s="142">
        <v>1</v>
      </c>
      <c r="U14" s="153" t="s">
        <v>112</v>
      </c>
      <c r="V14" s="142" t="s">
        <v>113</v>
      </c>
      <c r="W14" s="74" t="s">
        <v>114</v>
      </c>
      <c r="X14" s="140">
        <v>1</v>
      </c>
      <c r="Y14" s="140">
        <v>1</v>
      </c>
      <c r="Z14" s="140">
        <v>1</v>
      </c>
      <c r="AA14" s="140">
        <v>0</v>
      </c>
      <c r="AB14" s="128">
        <v>0</v>
      </c>
      <c r="AC14" s="154">
        <f t="shared" si="0"/>
        <v>6</v>
      </c>
      <c r="AD14" s="153" t="s">
        <v>115</v>
      </c>
    </row>
    <row r="15" spans="2:30" ht="81" customHeight="1">
      <c r="B15" s="468" t="s">
        <v>116</v>
      </c>
      <c r="C15" s="150" t="s">
        <v>117</v>
      </c>
      <c r="D15" s="149" t="s">
        <v>118</v>
      </c>
      <c r="E15" s="149" t="s">
        <v>119</v>
      </c>
      <c r="F15" s="140"/>
      <c r="G15" s="73" t="s">
        <v>64</v>
      </c>
      <c r="H15" s="141">
        <v>2</v>
      </c>
      <c r="I15" s="151" t="s">
        <v>120</v>
      </c>
      <c r="J15" s="141"/>
      <c r="K15" s="151" t="s">
        <v>121</v>
      </c>
      <c r="L15" s="141"/>
      <c r="M15" s="141" t="s">
        <v>97</v>
      </c>
      <c r="N15" s="151" t="s">
        <v>122</v>
      </c>
      <c r="O15" s="141"/>
      <c r="P15" s="141"/>
      <c r="Q15" s="141"/>
      <c r="R15" s="141">
        <v>2021</v>
      </c>
      <c r="S15" s="141" t="s">
        <v>123</v>
      </c>
      <c r="T15" s="142">
        <v>1</v>
      </c>
      <c r="U15" s="153" t="s">
        <v>1474</v>
      </c>
      <c r="V15" s="142"/>
      <c r="W15" s="74" t="s">
        <v>124</v>
      </c>
      <c r="X15" s="140">
        <v>1</v>
      </c>
      <c r="Y15" s="140">
        <v>1</v>
      </c>
      <c r="Z15" s="140">
        <v>1</v>
      </c>
      <c r="AA15" s="140">
        <v>0</v>
      </c>
      <c r="AB15" s="128">
        <v>0</v>
      </c>
      <c r="AC15" s="154">
        <f t="shared" si="0"/>
        <v>6</v>
      </c>
      <c r="AD15" s="140"/>
    </row>
    <row r="16" spans="2:30" ht="102" customHeight="1">
      <c r="B16" s="468"/>
      <c r="C16" s="150" t="s">
        <v>125</v>
      </c>
      <c r="D16" s="149" t="s">
        <v>126</v>
      </c>
      <c r="E16" s="72" t="s">
        <v>127</v>
      </c>
      <c r="F16" s="140"/>
      <c r="G16" s="73" t="s">
        <v>64</v>
      </c>
      <c r="H16" s="141">
        <v>2</v>
      </c>
      <c r="I16" s="151" t="s">
        <v>122</v>
      </c>
      <c r="J16" s="141"/>
      <c r="K16" s="141"/>
      <c r="L16" s="141"/>
      <c r="M16" s="141"/>
      <c r="N16" s="151" t="s">
        <v>122</v>
      </c>
      <c r="O16" s="141" t="s">
        <v>128</v>
      </c>
      <c r="P16" s="141"/>
      <c r="Q16" s="151" t="s">
        <v>129</v>
      </c>
      <c r="R16" s="141">
        <v>2022</v>
      </c>
      <c r="S16" s="141" t="s">
        <v>48</v>
      </c>
      <c r="T16" s="142">
        <v>1</v>
      </c>
      <c r="U16" s="153" t="s">
        <v>105</v>
      </c>
      <c r="V16" s="142"/>
      <c r="W16" s="74" t="s">
        <v>124</v>
      </c>
      <c r="X16" s="140">
        <v>1</v>
      </c>
      <c r="Y16" s="140">
        <v>1</v>
      </c>
      <c r="Z16" s="140">
        <v>0</v>
      </c>
      <c r="AA16" s="140">
        <v>1</v>
      </c>
      <c r="AB16" s="128">
        <v>0</v>
      </c>
      <c r="AC16" s="154">
        <f t="shared" si="0"/>
        <v>6</v>
      </c>
      <c r="AD16" s="140"/>
    </row>
    <row r="17" spans="2:30" ht="107.25" customHeight="1">
      <c r="B17" s="149" t="s">
        <v>130</v>
      </c>
      <c r="C17" s="150" t="s">
        <v>131</v>
      </c>
      <c r="D17" s="149" t="s">
        <v>132</v>
      </c>
      <c r="E17" s="72" t="s">
        <v>133</v>
      </c>
      <c r="F17" s="140"/>
      <c r="G17" s="73" t="s">
        <v>64</v>
      </c>
      <c r="H17" s="141">
        <v>1</v>
      </c>
      <c r="I17" s="151" t="s">
        <v>134</v>
      </c>
      <c r="J17" s="141"/>
      <c r="K17" s="141"/>
      <c r="L17" s="141"/>
      <c r="M17" s="141" t="s">
        <v>97</v>
      </c>
      <c r="N17" s="141"/>
      <c r="O17" s="141"/>
      <c r="P17" s="141"/>
      <c r="Q17" s="141"/>
      <c r="R17" s="141"/>
      <c r="S17" s="141"/>
      <c r="T17" s="142">
        <v>0</v>
      </c>
      <c r="U17" s="142"/>
      <c r="V17" s="142"/>
      <c r="W17" s="74" t="s">
        <v>78</v>
      </c>
      <c r="X17" s="140">
        <v>0</v>
      </c>
      <c r="Y17" s="140">
        <v>1</v>
      </c>
      <c r="Z17" s="140">
        <v>1</v>
      </c>
      <c r="AA17" s="140">
        <v>1</v>
      </c>
      <c r="AB17" s="128">
        <v>1</v>
      </c>
      <c r="AC17" s="154">
        <f t="shared" si="0"/>
        <v>5</v>
      </c>
      <c r="AD17" s="140"/>
    </row>
    <row r="18" spans="2:30" ht="56.25" customHeight="1">
      <c r="B18" s="468" t="s">
        <v>135</v>
      </c>
      <c r="C18" s="150" t="s">
        <v>1475</v>
      </c>
      <c r="D18" s="149" t="s">
        <v>136</v>
      </c>
      <c r="E18" s="155" t="s">
        <v>137</v>
      </c>
      <c r="F18" s="140"/>
      <c r="G18" s="73" t="s">
        <v>40</v>
      </c>
      <c r="H18" s="141">
        <v>2</v>
      </c>
      <c r="I18" s="151" t="s">
        <v>138</v>
      </c>
      <c r="J18" s="141"/>
      <c r="K18" s="141"/>
      <c r="L18" s="141"/>
      <c r="M18" s="141"/>
      <c r="N18" s="141" t="s">
        <v>139</v>
      </c>
      <c r="O18" s="141"/>
      <c r="P18" s="141"/>
      <c r="Q18" s="141"/>
      <c r="R18" s="141"/>
      <c r="S18" s="141" t="s">
        <v>140</v>
      </c>
      <c r="T18" s="142">
        <v>1</v>
      </c>
      <c r="U18" s="142"/>
      <c r="V18" s="142" t="s">
        <v>66</v>
      </c>
      <c r="W18" s="74" t="s">
        <v>141</v>
      </c>
      <c r="X18" s="140">
        <v>1</v>
      </c>
      <c r="Y18" s="140">
        <v>1</v>
      </c>
      <c r="Z18" s="140">
        <v>1</v>
      </c>
      <c r="AA18" s="140">
        <v>1</v>
      </c>
      <c r="AB18" s="128">
        <v>0</v>
      </c>
      <c r="AC18" s="154">
        <f t="shared" si="0"/>
        <v>7</v>
      </c>
      <c r="AD18" s="140"/>
    </row>
    <row r="19" spans="2:30" ht="78.75" customHeight="1">
      <c r="B19" s="468"/>
      <c r="C19" s="150" t="s">
        <v>142</v>
      </c>
      <c r="D19" s="149" t="s">
        <v>143</v>
      </c>
      <c r="E19" s="153" t="s">
        <v>144</v>
      </c>
      <c r="F19" s="140"/>
      <c r="G19" s="73" t="s">
        <v>40</v>
      </c>
      <c r="H19" s="141">
        <v>2</v>
      </c>
      <c r="I19" s="151" t="s">
        <v>138</v>
      </c>
      <c r="J19" s="141" t="s">
        <v>145</v>
      </c>
      <c r="K19" s="141"/>
      <c r="L19" s="141"/>
      <c r="M19" s="141"/>
      <c r="N19" s="141" t="s">
        <v>139</v>
      </c>
      <c r="O19" s="141"/>
      <c r="P19" s="141"/>
      <c r="Q19" s="141"/>
      <c r="R19" s="141">
        <v>2018</v>
      </c>
      <c r="S19" s="141" t="s">
        <v>97</v>
      </c>
      <c r="T19" s="142">
        <v>1</v>
      </c>
      <c r="U19" s="142">
        <v>2018</v>
      </c>
      <c r="V19" s="149" t="s">
        <v>146</v>
      </c>
      <c r="W19" s="74" t="s">
        <v>141</v>
      </c>
      <c r="X19" s="140">
        <v>1</v>
      </c>
      <c r="Y19" s="140">
        <v>1</v>
      </c>
      <c r="Z19" s="140">
        <v>1</v>
      </c>
      <c r="AA19" s="140">
        <v>0</v>
      </c>
      <c r="AB19" s="128">
        <v>0</v>
      </c>
      <c r="AC19" s="154">
        <f t="shared" si="0"/>
        <v>6</v>
      </c>
      <c r="AD19" s="140"/>
    </row>
    <row r="20" spans="2:30" ht="78.75" customHeight="1">
      <c r="B20" s="149" t="s">
        <v>147</v>
      </c>
      <c r="C20" s="150" t="s">
        <v>148</v>
      </c>
      <c r="D20" s="149" t="s">
        <v>149</v>
      </c>
      <c r="E20" s="72" t="s">
        <v>150</v>
      </c>
      <c r="F20" s="140"/>
      <c r="G20" s="73" t="s">
        <v>40</v>
      </c>
      <c r="H20" s="141">
        <v>1</v>
      </c>
      <c r="I20" s="141" t="s">
        <v>151</v>
      </c>
      <c r="J20" s="141"/>
      <c r="K20" s="151" t="s">
        <v>152</v>
      </c>
      <c r="L20" s="141"/>
      <c r="M20" s="141"/>
      <c r="N20" s="141" t="s">
        <v>151</v>
      </c>
      <c r="O20" s="158" t="s">
        <v>153</v>
      </c>
      <c r="P20" s="159" t="s">
        <v>154</v>
      </c>
      <c r="Q20" s="141"/>
      <c r="R20" s="151" t="s">
        <v>155</v>
      </c>
      <c r="S20" s="141"/>
      <c r="T20" s="142">
        <v>0</v>
      </c>
      <c r="U20" s="151" t="s">
        <v>155</v>
      </c>
      <c r="V20" s="142"/>
      <c r="W20" s="74" t="s">
        <v>156</v>
      </c>
      <c r="X20" s="140">
        <v>0</v>
      </c>
      <c r="Y20" s="140">
        <v>0</v>
      </c>
      <c r="Z20" s="140">
        <v>0</v>
      </c>
      <c r="AA20" s="140">
        <v>0</v>
      </c>
      <c r="AB20" s="128">
        <v>0</v>
      </c>
      <c r="AC20" s="154">
        <f t="shared" si="0"/>
        <v>1</v>
      </c>
      <c r="AD20" s="160" t="s">
        <v>157</v>
      </c>
    </row>
    <row r="21" spans="2:30" ht="78.75" customHeight="1">
      <c r="B21" s="149" t="s">
        <v>158</v>
      </c>
      <c r="C21" s="150" t="s">
        <v>159</v>
      </c>
      <c r="D21" s="149" t="s">
        <v>160</v>
      </c>
      <c r="E21" s="149" t="s">
        <v>161</v>
      </c>
      <c r="F21" s="140"/>
      <c r="G21" s="73" t="s">
        <v>64</v>
      </c>
      <c r="H21" s="141">
        <v>2</v>
      </c>
      <c r="I21" s="141" t="s">
        <v>122</v>
      </c>
      <c r="J21" s="151" t="s">
        <v>1499</v>
      </c>
      <c r="K21" s="141" t="s">
        <v>162</v>
      </c>
      <c r="L21" s="141"/>
      <c r="M21" s="141"/>
      <c r="N21" s="141" t="s">
        <v>122</v>
      </c>
      <c r="O21" s="141"/>
      <c r="P21" s="141"/>
      <c r="Q21" s="141"/>
      <c r="R21" s="141">
        <v>2023</v>
      </c>
      <c r="S21" s="141" t="s">
        <v>48</v>
      </c>
      <c r="T21" s="142">
        <v>1</v>
      </c>
      <c r="U21" s="142">
        <v>2022</v>
      </c>
      <c r="V21" s="142" t="s">
        <v>122</v>
      </c>
      <c r="W21" s="74" t="s">
        <v>163</v>
      </c>
      <c r="X21" s="140">
        <v>1</v>
      </c>
      <c r="Y21" s="140">
        <v>1</v>
      </c>
      <c r="Z21" s="140">
        <v>1</v>
      </c>
      <c r="AA21" s="140">
        <v>0</v>
      </c>
      <c r="AB21" s="128">
        <v>0</v>
      </c>
      <c r="AC21" s="154">
        <f t="shared" si="0"/>
        <v>6</v>
      </c>
      <c r="AD21" s="140"/>
    </row>
  </sheetData>
  <mergeCells count="27">
    <mergeCell ref="B11:B12"/>
    <mergeCell ref="B15:B16"/>
    <mergeCell ref="B18:B19"/>
    <mergeCell ref="X4:X5"/>
    <mergeCell ref="Y4:Y5"/>
    <mergeCell ref="B9:B10"/>
    <mergeCell ref="E9:E10"/>
    <mergeCell ref="T4:T5"/>
    <mergeCell ref="U4:U5"/>
    <mergeCell ref="V4:V5"/>
    <mergeCell ref="B4:B5"/>
    <mergeCell ref="C4:C5"/>
    <mergeCell ref="AD4:AD5"/>
    <mergeCell ref="AC4:AC5"/>
    <mergeCell ref="B3:E3"/>
    <mergeCell ref="X3:Z3"/>
    <mergeCell ref="AA3:AB3"/>
    <mergeCell ref="D4:D5"/>
    <mergeCell ref="F4:F5"/>
    <mergeCell ref="I4:L4"/>
    <mergeCell ref="M4:O4"/>
    <mergeCell ref="P4:Q4"/>
    <mergeCell ref="S4:S5"/>
    <mergeCell ref="Z4:Z5"/>
    <mergeCell ref="AA4:AA5"/>
    <mergeCell ref="AB4:AB5"/>
    <mergeCell ref="W4:W5"/>
  </mergeCells>
  <hyperlinks>
    <hyperlink ref="Q13" r:id="rId1" xr:uid="{00000000-0004-0000-0000-000002000000}"/>
    <hyperlink ref="P11" r:id="rId2" xr:uid="{00000000-0004-0000-0000-000003000000}"/>
    <hyperlink ref="P12" r:id="rId3" xr:uid="{00000000-0004-0000-0000-000004000000}"/>
    <hyperlink ref="P13" r:id="rId4" xr:uid="{00000000-0004-0000-0000-000005000000}"/>
    <hyperlink ref="Q6" r:id="rId5" display="https://statistics-suriname.org/wp-content/uploads/2021/09/BBP-SCHATTINGEN-2015-2020.pdf" xr:uid="{00000000-0004-0000-0000-000006000000}"/>
    <hyperlink ref="Q11" r:id="rId6" xr:uid="{41C36040-2150-4969-9B33-59E8160B17B3}"/>
    <hyperlink ref="Q12" r:id="rId7" xr:uid="{1C6B55FC-D7A4-4A7F-AB49-7E346DEC0EB4}"/>
    <hyperlink ref="P20" r:id="rId8" xr:uid="{A27C768E-9ACD-49D3-BEC6-3038BA371E97}"/>
    <hyperlink ref="AD20" r:id="rId9" xr:uid="{367F8FED-9B5C-4036-85F9-68DC1ACA29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U53"/>
  <sheetViews>
    <sheetView topLeftCell="A68" zoomScale="70" zoomScaleNormal="70" workbookViewId="0">
      <selection activeCell="Q8" sqref="Q8"/>
    </sheetView>
  </sheetViews>
  <sheetFormatPr defaultRowHeight="15"/>
  <cols>
    <col min="2" max="2" width="16.7109375" style="69" customWidth="1"/>
    <col min="3" max="3" width="12.140625" customWidth="1"/>
    <col min="4" max="4" width="13.5703125" customWidth="1"/>
    <col min="5" max="5" width="6.28515625" customWidth="1"/>
    <col min="6" max="6" width="14.140625" customWidth="1"/>
    <col min="7" max="7" width="13.28515625" customWidth="1"/>
    <col min="8" max="8" width="13.85546875" customWidth="1"/>
    <col min="10" max="10" width="12.85546875" customWidth="1"/>
  </cols>
  <sheetData>
    <row r="1" spans="2:21" ht="19.5" customHeight="1"/>
    <row r="2" spans="2:21" ht="19.5" customHeight="1"/>
    <row r="3" spans="2:21" ht="23.25" customHeight="1">
      <c r="B3" s="624" t="s">
        <v>107</v>
      </c>
      <c r="C3" s="624"/>
      <c r="D3" s="624"/>
      <c r="E3" s="624"/>
      <c r="F3" s="624"/>
      <c r="G3" s="624"/>
      <c r="H3" s="624"/>
      <c r="I3" s="624"/>
      <c r="J3" s="624"/>
      <c r="K3" s="624"/>
      <c r="L3" s="624"/>
      <c r="M3" s="624"/>
    </row>
    <row r="4" spans="2:21" ht="68.25" customHeight="1">
      <c r="B4" s="625" t="s">
        <v>109</v>
      </c>
      <c r="C4" s="626"/>
      <c r="D4" s="626"/>
      <c r="E4" s="626"/>
      <c r="F4" s="626"/>
      <c r="G4" s="626"/>
      <c r="H4" s="626"/>
      <c r="I4" s="626"/>
      <c r="J4" s="626"/>
      <c r="K4" s="626"/>
      <c r="L4" s="626"/>
      <c r="M4" s="627"/>
    </row>
    <row r="5" spans="2:21" ht="19.5" customHeight="1"/>
    <row r="6" spans="2:21" ht="19.5" customHeight="1">
      <c r="B6" s="628" t="s">
        <v>555</v>
      </c>
      <c r="C6" s="628"/>
      <c r="D6" s="628"/>
      <c r="E6" s="628"/>
      <c r="F6" s="628"/>
      <c r="G6" s="628"/>
      <c r="H6" s="628"/>
      <c r="I6" s="628"/>
      <c r="J6" s="628"/>
      <c r="K6" s="628"/>
      <c r="L6" s="628"/>
      <c r="M6" s="628"/>
    </row>
    <row r="7" spans="2:21" ht="195.75" customHeight="1">
      <c r="B7" s="629" t="s">
        <v>556</v>
      </c>
      <c r="C7" s="629"/>
      <c r="D7" s="629"/>
      <c r="E7" s="629"/>
      <c r="F7" s="629"/>
      <c r="G7" s="629"/>
      <c r="H7" s="629"/>
      <c r="I7" s="629"/>
      <c r="J7" s="629"/>
      <c r="K7" s="629"/>
      <c r="L7" s="629"/>
      <c r="M7" s="629"/>
    </row>
    <row r="8" spans="2:21" ht="19.5" customHeight="1"/>
    <row r="10" spans="2:21">
      <c r="B10" s="600" t="s">
        <v>557</v>
      </c>
      <c r="C10" s="600"/>
      <c r="D10" s="600"/>
      <c r="E10" s="600"/>
      <c r="F10" s="600"/>
      <c r="G10" s="600"/>
      <c r="H10" s="600"/>
      <c r="I10" s="600"/>
    </row>
    <row r="12" spans="2:21">
      <c r="L12" s="70" t="s">
        <v>558</v>
      </c>
    </row>
    <row r="13" spans="2:21">
      <c r="B13" s="621" t="s">
        <v>559</v>
      </c>
      <c r="C13" s="622"/>
      <c r="D13" s="622"/>
      <c r="E13" s="622"/>
      <c r="F13" s="622"/>
      <c r="G13" s="622"/>
      <c r="H13" s="622"/>
      <c r="I13" s="622"/>
      <c r="J13" s="623"/>
      <c r="L13" s="195" t="s">
        <v>560</v>
      </c>
    </row>
    <row r="14" spans="2:21" ht="42" customHeight="1">
      <c r="B14" s="618" t="s">
        <v>561</v>
      </c>
      <c r="C14" s="619"/>
      <c r="D14" s="619"/>
      <c r="E14" s="619"/>
      <c r="F14" s="619"/>
      <c r="G14" s="619"/>
      <c r="H14" s="619"/>
      <c r="I14" s="619"/>
      <c r="J14" s="620"/>
      <c r="L14" s="123"/>
    </row>
    <row r="15" spans="2:21" ht="57.75" customHeight="1">
      <c r="B15" s="611"/>
      <c r="C15" s="617" t="s">
        <v>562</v>
      </c>
      <c r="D15" s="617"/>
      <c r="E15" s="136"/>
      <c r="F15" s="617" t="s">
        <v>563</v>
      </c>
      <c r="G15" s="617"/>
      <c r="H15" s="615" t="s">
        <v>564</v>
      </c>
      <c r="I15" s="615" t="s">
        <v>565</v>
      </c>
      <c r="J15" s="613" t="s">
        <v>566</v>
      </c>
      <c r="L15" s="591" t="s">
        <v>567</v>
      </c>
      <c r="M15" s="592"/>
      <c r="N15" s="592"/>
      <c r="O15" s="592"/>
      <c r="P15" s="592"/>
      <c r="Q15" s="592"/>
      <c r="R15" s="592"/>
      <c r="S15" s="592"/>
      <c r="T15" s="592"/>
      <c r="U15" s="593"/>
    </row>
    <row r="16" spans="2:21" ht="34.5">
      <c r="B16" s="612"/>
      <c r="C16" s="137" t="s">
        <v>568</v>
      </c>
      <c r="D16" s="137" t="s">
        <v>569</v>
      </c>
      <c r="E16" s="137"/>
      <c r="F16" s="137" t="s">
        <v>570</v>
      </c>
      <c r="G16" s="137" t="s">
        <v>569</v>
      </c>
      <c r="H16" s="616"/>
      <c r="I16" s="616"/>
      <c r="J16" s="614"/>
      <c r="L16" s="594"/>
      <c r="M16" s="595"/>
      <c r="N16" s="595"/>
      <c r="O16" s="595"/>
      <c r="P16" s="595"/>
      <c r="Q16" s="595"/>
      <c r="R16" s="595"/>
      <c r="S16" s="595"/>
      <c r="T16" s="595"/>
      <c r="U16" s="596"/>
    </row>
    <row r="17" spans="2:21">
      <c r="B17" s="71"/>
      <c r="C17" s="33"/>
      <c r="D17" s="33"/>
      <c r="E17" s="33"/>
      <c r="F17" s="33"/>
      <c r="G17" s="33"/>
      <c r="H17" s="33"/>
      <c r="I17" s="33"/>
      <c r="J17" s="34"/>
      <c r="L17" s="594"/>
      <c r="M17" s="595"/>
      <c r="N17" s="595"/>
      <c r="O17" s="595"/>
      <c r="P17" s="595"/>
      <c r="Q17" s="595"/>
      <c r="R17" s="595"/>
      <c r="S17" s="595"/>
      <c r="T17" s="595"/>
      <c r="U17" s="596"/>
    </row>
    <row r="18" spans="2:21">
      <c r="B18" s="40" t="s">
        <v>306</v>
      </c>
      <c r="C18" s="35">
        <v>9.1363747837599494</v>
      </c>
      <c r="D18" s="36">
        <v>3.4493023325341481</v>
      </c>
      <c r="E18" s="37"/>
      <c r="F18" s="38">
        <v>71.473976495777237</v>
      </c>
      <c r="G18" s="36">
        <v>0.54188025755219449</v>
      </c>
      <c r="H18" s="36">
        <v>2.8928929240022754</v>
      </c>
      <c r="I18" s="36">
        <v>6.0966106720098612</v>
      </c>
      <c r="J18" s="39">
        <v>7722.1368527037466</v>
      </c>
      <c r="L18" s="594"/>
      <c r="M18" s="595"/>
      <c r="N18" s="595"/>
      <c r="O18" s="595"/>
      <c r="P18" s="595"/>
      <c r="Q18" s="595"/>
      <c r="R18" s="595"/>
      <c r="S18" s="595"/>
      <c r="T18" s="595"/>
      <c r="U18" s="596"/>
    </row>
    <row r="19" spans="2:21">
      <c r="B19" s="47"/>
      <c r="C19" s="35"/>
      <c r="D19" s="36"/>
      <c r="E19" s="37"/>
      <c r="F19" s="38"/>
      <c r="G19" s="36"/>
      <c r="H19" s="36"/>
      <c r="I19" s="36"/>
      <c r="J19" s="39"/>
      <c r="L19" s="594"/>
      <c r="M19" s="595"/>
      <c r="N19" s="595"/>
      <c r="O19" s="595"/>
      <c r="P19" s="595"/>
      <c r="Q19" s="595"/>
      <c r="R19" s="595"/>
      <c r="S19" s="595"/>
      <c r="T19" s="595"/>
      <c r="U19" s="596"/>
    </row>
    <row r="20" spans="2:21">
      <c r="B20" s="40" t="s">
        <v>468</v>
      </c>
      <c r="C20" s="35"/>
      <c r="D20" s="36"/>
      <c r="E20" s="37"/>
      <c r="F20" s="38"/>
      <c r="G20" s="36"/>
      <c r="H20" s="36"/>
      <c r="I20" s="36"/>
      <c r="J20" s="39"/>
      <c r="L20" s="594"/>
      <c r="M20" s="595"/>
      <c r="N20" s="595"/>
      <c r="O20" s="595"/>
      <c r="P20" s="595"/>
      <c r="Q20" s="595"/>
      <c r="R20" s="595"/>
      <c r="S20" s="595"/>
      <c r="T20" s="595"/>
      <c r="U20" s="596"/>
    </row>
    <row r="21" spans="2:21">
      <c r="B21" s="41" t="s">
        <v>304</v>
      </c>
      <c r="C21" s="42">
        <v>11.851342225063659</v>
      </c>
      <c r="D21" s="43">
        <v>4.4188141238893657</v>
      </c>
      <c r="E21" s="37"/>
      <c r="F21" s="44">
        <v>69.409075380994267</v>
      </c>
      <c r="G21" s="43">
        <v>0.22127296867213536</v>
      </c>
      <c r="H21" s="43">
        <v>3.9590734250336772</v>
      </c>
      <c r="I21" s="43">
        <v>7.540016724618372</v>
      </c>
      <c r="J21" s="45">
        <v>4042.215257331166</v>
      </c>
      <c r="L21" s="594"/>
      <c r="M21" s="595"/>
      <c r="N21" s="595"/>
      <c r="O21" s="595"/>
      <c r="P21" s="595"/>
      <c r="Q21" s="595"/>
      <c r="R21" s="595"/>
      <c r="S21" s="595"/>
      <c r="T21" s="595"/>
      <c r="U21" s="596"/>
    </row>
    <row r="22" spans="2:21">
      <c r="B22" s="41" t="s">
        <v>305</v>
      </c>
      <c r="C22" s="42">
        <v>6.1541148279512381</v>
      </c>
      <c r="D22" s="43">
        <v>2.3843406876701447</v>
      </c>
      <c r="E22" s="37"/>
      <c r="F22" s="44">
        <v>73.742170144672187</v>
      </c>
      <c r="G22" s="43">
        <v>0.89405180282430186</v>
      </c>
      <c r="H22" s="43">
        <v>1.7217453936425315</v>
      </c>
      <c r="I22" s="43">
        <v>4.5110991829294669</v>
      </c>
      <c r="J22" s="45">
        <v>3679.9215953725843</v>
      </c>
      <c r="L22" s="594"/>
      <c r="M22" s="595"/>
      <c r="N22" s="595"/>
      <c r="O22" s="595"/>
      <c r="P22" s="595"/>
      <c r="Q22" s="595"/>
      <c r="R22" s="595"/>
      <c r="S22" s="595"/>
      <c r="T22" s="595"/>
      <c r="U22" s="596"/>
    </row>
    <row r="23" spans="2:21">
      <c r="B23" s="40" t="s">
        <v>571</v>
      </c>
      <c r="C23" s="42"/>
      <c r="D23" s="43"/>
      <c r="E23" s="37"/>
      <c r="F23" s="44"/>
      <c r="G23" s="43"/>
      <c r="H23" s="43"/>
      <c r="I23" s="43"/>
      <c r="J23" s="45"/>
      <c r="L23" s="594"/>
      <c r="M23" s="595"/>
      <c r="N23" s="595"/>
      <c r="O23" s="595"/>
      <c r="P23" s="595"/>
      <c r="Q23" s="595"/>
      <c r="R23" s="595"/>
      <c r="S23" s="595"/>
      <c r="T23" s="595"/>
      <c r="U23" s="596"/>
    </row>
    <row r="24" spans="2:21">
      <c r="B24" s="41" t="s">
        <v>572</v>
      </c>
      <c r="C24" s="42">
        <v>7.0521107632746851</v>
      </c>
      <c r="D24" s="43">
        <v>2.3297759641449374</v>
      </c>
      <c r="E24" s="37"/>
      <c r="F24" s="44">
        <v>70.391548325042436</v>
      </c>
      <c r="G24" s="43">
        <v>0.62807802854585593</v>
      </c>
      <c r="H24" s="43">
        <v>1.3342003108714313</v>
      </c>
      <c r="I24" s="43">
        <v>4.0073920702753059</v>
      </c>
      <c r="J24" s="45">
        <v>5221.4217733372079</v>
      </c>
      <c r="L24" s="594"/>
      <c r="M24" s="595"/>
      <c r="N24" s="595"/>
      <c r="O24" s="595"/>
      <c r="P24" s="595"/>
      <c r="Q24" s="595"/>
      <c r="R24" s="595"/>
      <c r="S24" s="595"/>
      <c r="T24" s="595"/>
      <c r="U24" s="596"/>
    </row>
    <row r="25" spans="2:21">
      <c r="B25" s="41" t="s">
        <v>573</v>
      </c>
      <c r="C25" s="42">
        <v>11.320300249683243</v>
      </c>
      <c r="D25" s="43">
        <v>2.7081809309028873</v>
      </c>
      <c r="E25" s="37"/>
      <c r="F25" s="44">
        <v>73.621613447868981</v>
      </c>
      <c r="G25" s="43">
        <v>0.10534533654103782</v>
      </c>
      <c r="H25" s="43">
        <v>2.5655855927241333</v>
      </c>
      <c r="I25" s="43">
        <v>4.8192686852054267</v>
      </c>
      <c r="J25" s="45">
        <v>1437.4664971788372</v>
      </c>
      <c r="L25" s="594"/>
      <c r="M25" s="595"/>
      <c r="N25" s="595"/>
      <c r="O25" s="595"/>
      <c r="P25" s="595"/>
      <c r="Q25" s="595"/>
      <c r="R25" s="595"/>
      <c r="S25" s="595"/>
      <c r="T25" s="595"/>
      <c r="U25" s="596"/>
    </row>
    <row r="26" spans="2:21">
      <c r="B26" s="41" t="s">
        <v>574</v>
      </c>
      <c r="C26" s="42">
        <v>16.419245391884076</v>
      </c>
      <c r="D26" s="43">
        <v>9.9490585106238338</v>
      </c>
      <c r="E26" s="37"/>
      <c r="F26" s="44">
        <v>73.886072683796215</v>
      </c>
      <c r="G26" s="43">
        <v>0.7087550679165161</v>
      </c>
      <c r="H26" s="43">
        <v>10.989856339105852</v>
      </c>
      <c r="I26" s="43">
        <v>18.083297530886963</v>
      </c>
      <c r="J26" s="45">
        <v>1063.2485821877081</v>
      </c>
      <c r="L26" s="594"/>
      <c r="M26" s="595"/>
      <c r="N26" s="595"/>
      <c r="O26" s="595"/>
      <c r="P26" s="595"/>
      <c r="Q26" s="595"/>
      <c r="R26" s="595"/>
      <c r="S26" s="595"/>
      <c r="T26" s="595"/>
      <c r="U26" s="596"/>
    </row>
    <row r="27" spans="2:21">
      <c r="B27" s="40" t="s">
        <v>575</v>
      </c>
      <c r="C27" s="42"/>
      <c r="D27" s="43"/>
      <c r="E27" s="37"/>
      <c r="F27" s="44"/>
      <c r="G27" s="43"/>
      <c r="H27" s="43"/>
      <c r="I27" s="43"/>
      <c r="J27" s="45"/>
      <c r="L27" s="594"/>
      <c r="M27" s="595"/>
      <c r="N27" s="595"/>
      <c r="O27" s="595"/>
      <c r="P27" s="595"/>
      <c r="Q27" s="595"/>
      <c r="R27" s="595"/>
      <c r="S27" s="595"/>
      <c r="T27" s="595"/>
      <c r="U27" s="596"/>
    </row>
    <row r="28" spans="2:21">
      <c r="B28" s="46" t="s">
        <v>576</v>
      </c>
      <c r="C28" s="42">
        <v>7.8226686495826412</v>
      </c>
      <c r="D28" s="43">
        <v>2.6222465071140313</v>
      </c>
      <c r="E28" s="37"/>
      <c r="F28" s="44">
        <v>67.618333524213</v>
      </c>
      <c r="G28" s="43">
        <v>0.8591367879259616</v>
      </c>
      <c r="H28" s="43">
        <v>0.9205185975563841</v>
      </c>
      <c r="I28" s="43">
        <v>4.3340280682942822</v>
      </c>
      <c r="J28" s="45">
        <v>2506.4048398302689</v>
      </c>
      <c r="L28" s="597"/>
      <c r="M28" s="598"/>
      <c r="N28" s="598"/>
      <c r="O28" s="598"/>
      <c r="P28" s="598"/>
      <c r="Q28" s="598"/>
      <c r="R28" s="598"/>
      <c r="S28" s="598"/>
      <c r="T28" s="598"/>
      <c r="U28" s="599"/>
    </row>
    <row r="29" spans="2:21">
      <c r="B29" s="46" t="s">
        <v>577</v>
      </c>
      <c r="C29" s="42">
        <v>7.2851817931504765</v>
      </c>
      <c r="D29" s="43">
        <v>2.3077706812586478</v>
      </c>
      <c r="E29" s="37"/>
      <c r="F29" s="44">
        <v>72.395922581131487</v>
      </c>
      <c r="G29" s="43">
        <v>0.27878580815432863</v>
      </c>
      <c r="H29" s="43">
        <v>1.9264468076834891</v>
      </c>
      <c r="I29" s="43">
        <v>3.9267688756388499</v>
      </c>
      <c r="J29" s="45">
        <v>2180.3358188501711</v>
      </c>
    </row>
    <row r="30" spans="2:21">
      <c r="B30" s="46" t="s">
        <v>578</v>
      </c>
      <c r="C30" s="42">
        <v>3.5318675892903233</v>
      </c>
      <c r="D30" s="43">
        <v>0.79507880083545657</v>
      </c>
      <c r="E30" s="37"/>
      <c r="F30" s="44">
        <v>74.30495271279753</v>
      </c>
      <c r="G30" s="43">
        <v>1.3203370045501854</v>
      </c>
      <c r="H30" s="43">
        <v>1.7749688959506185</v>
      </c>
      <c r="I30" s="43">
        <v>3.8903847013362625</v>
      </c>
      <c r="J30" s="45">
        <v>418.00572393250121</v>
      </c>
    </row>
    <row r="31" spans="2:21">
      <c r="B31" s="46" t="s">
        <v>579</v>
      </c>
      <c r="C31" s="42">
        <v>21.548886316052627</v>
      </c>
      <c r="D31" s="43">
        <v>15.750690221468725</v>
      </c>
      <c r="E31" s="37"/>
      <c r="F31" s="44">
        <v>83.287606281273597</v>
      </c>
      <c r="G31" s="43">
        <v>1.146084637380409</v>
      </c>
      <c r="H31" s="43">
        <v>12.615012632447209</v>
      </c>
      <c r="I31" s="43">
        <v>27.846924990055978</v>
      </c>
      <c r="J31" s="45">
        <v>63.908267716062625</v>
      </c>
    </row>
    <row r="32" spans="2:21">
      <c r="B32" s="46" t="s">
        <v>580</v>
      </c>
      <c r="C32" s="42">
        <v>17.775400517243689</v>
      </c>
      <c r="D32" s="43">
        <v>1.7052172140253297</v>
      </c>
      <c r="E32" s="37"/>
      <c r="F32" s="44">
        <v>67.4833457265145</v>
      </c>
      <c r="G32" s="43">
        <v>0</v>
      </c>
      <c r="H32" s="43">
        <v>1.4854461617653267</v>
      </c>
      <c r="I32" s="43">
        <v>3.1906633757906508</v>
      </c>
      <c r="J32" s="45">
        <v>266.36547660040571</v>
      </c>
    </row>
    <row r="33" spans="2:10">
      <c r="B33" s="46" t="s">
        <v>581</v>
      </c>
      <c r="C33" s="42">
        <v>6.0096805570824756</v>
      </c>
      <c r="D33" s="43">
        <v>1.0531585810966544</v>
      </c>
      <c r="E33" s="37"/>
      <c r="F33" s="44">
        <v>73.366009165556591</v>
      </c>
      <c r="G33" s="43">
        <v>0</v>
      </c>
      <c r="H33" s="43">
        <v>1.0093532420026992</v>
      </c>
      <c r="I33" s="43">
        <v>1.8985461568134003</v>
      </c>
      <c r="J33" s="45">
        <v>439.09965964722664</v>
      </c>
    </row>
    <row r="34" spans="2:10">
      <c r="B34" s="47" t="s">
        <v>582</v>
      </c>
      <c r="C34" s="42">
        <v>7.7166193265310872</v>
      </c>
      <c r="D34" s="43">
        <v>3.2621967940554608</v>
      </c>
      <c r="E34" s="37"/>
      <c r="F34" s="44">
        <v>75.743220192159896</v>
      </c>
      <c r="G34" s="43">
        <v>0.12954404547780615</v>
      </c>
      <c r="H34" s="43">
        <v>2.6186198293277303</v>
      </c>
      <c r="I34" s="43">
        <v>4.7545694253055792</v>
      </c>
      <c r="J34" s="45">
        <v>343.87292336607715</v>
      </c>
    </row>
    <row r="35" spans="2:10">
      <c r="B35" s="47" t="s">
        <v>583</v>
      </c>
      <c r="C35" s="42">
        <v>10.712397797255736</v>
      </c>
      <c r="D35" s="43">
        <v>2.4408396193456272</v>
      </c>
      <c r="E35" s="37"/>
      <c r="F35" s="44">
        <v>75.816813275733807</v>
      </c>
      <c r="G35" s="43">
        <v>0</v>
      </c>
      <c r="H35" s="43">
        <v>1.9491490969963747</v>
      </c>
      <c r="I35" s="43">
        <v>3.8625126662824383</v>
      </c>
      <c r="J35" s="45">
        <v>440.8955605733189</v>
      </c>
    </row>
    <row r="36" spans="2:10">
      <c r="B36" s="47" t="s">
        <v>584</v>
      </c>
      <c r="C36" s="42">
        <v>11.292712454210086</v>
      </c>
      <c r="D36" s="43">
        <v>5.6764963351595963</v>
      </c>
      <c r="E36" s="37"/>
      <c r="F36" s="44">
        <v>80.712830554553108</v>
      </c>
      <c r="G36" s="43">
        <v>1.2195462013249954</v>
      </c>
      <c r="H36" s="43">
        <v>8.7069892604664716</v>
      </c>
      <c r="I36" s="43">
        <v>11.972376357512351</v>
      </c>
      <c r="J36" s="45">
        <v>538.55136575340794</v>
      </c>
    </row>
    <row r="37" spans="2:10">
      <c r="B37" s="47" t="s">
        <v>585</v>
      </c>
      <c r="C37" s="42">
        <v>21.681139735304637</v>
      </c>
      <c r="D37" s="43">
        <v>14.334433776190407</v>
      </c>
      <c r="E37" s="37"/>
      <c r="F37" s="44">
        <v>66.879060525529241</v>
      </c>
      <c r="G37" s="43">
        <v>0.18447696257171384</v>
      </c>
      <c r="H37" s="43">
        <v>13.333000431597277</v>
      </c>
      <c r="I37" s="43">
        <v>24.355571979563031</v>
      </c>
      <c r="J37" s="45">
        <v>524.69721643429955</v>
      </c>
    </row>
    <row r="38" spans="2:10">
      <c r="B38" s="40" t="s">
        <v>529</v>
      </c>
      <c r="C38" s="42"/>
      <c r="D38" s="43"/>
      <c r="E38" s="37"/>
      <c r="F38" s="44"/>
      <c r="G38" s="43"/>
      <c r="H38" s="43"/>
      <c r="I38" s="43"/>
      <c r="J38" s="45"/>
    </row>
    <row r="39" spans="2:10">
      <c r="B39" s="48" t="s">
        <v>586</v>
      </c>
      <c r="C39" s="49">
        <v>3.6846665394609457</v>
      </c>
      <c r="D39" s="49">
        <v>5.4186350730753841</v>
      </c>
      <c r="E39" s="50"/>
      <c r="F39" s="49">
        <v>59.878368318237378</v>
      </c>
      <c r="G39" s="49">
        <v>0.64990039717561765</v>
      </c>
      <c r="H39" s="49">
        <v>1.196485916797928</v>
      </c>
      <c r="I39" s="49">
        <v>6.1111487807980307</v>
      </c>
      <c r="J39" s="51">
        <v>4387.6530922171996</v>
      </c>
    </row>
    <row r="40" spans="2:10">
      <c r="B40" s="48" t="s">
        <v>587</v>
      </c>
      <c r="C40" s="49">
        <v>13.9429932576134</v>
      </c>
      <c r="D40" s="49">
        <v>0.95190704828187045</v>
      </c>
      <c r="E40" s="50"/>
      <c r="F40" s="49">
        <v>84.801658335979468</v>
      </c>
      <c r="G40" s="49">
        <v>0.43534317680565121</v>
      </c>
      <c r="H40" s="49">
        <v>3.1957351307631408</v>
      </c>
      <c r="I40" s="49">
        <v>4.4674766135276336</v>
      </c>
      <c r="J40" s="51">
        <v>1649.176525367968</v>
      </c>
    </row>
    <row r="41" spans="2:10">
      <c r="B41" s="48" t="s">
        <v>588</v>
      </c>
      <c r="C41" s="49">
        <v>18.626182843214465</v>
      </c>
      <c r="D41" s="49">
        <v>0.76605080601429099</v>
      </c>
      <c r="E41" s="50"/>
      <c r="F41" s="49">
        <v>88.620883270821508</v>
      </c>
      <c r="G41" s="49">
        <v>0.36490573280268657</v>
      </c>
      <c r="H41" s="49">
        <v>7.0130943020316678</v>
      </c>
      <c r="I41" s="49">
        <v>7.6529687136119087</v>
      </c>
      <c r="J41" s="51">
        <v>1685.3072351185729</v>
      </c>
    </row>
    <row r="42" spans="2:10">
      <c r="B42" s="40" t="s">
        <v>589</v>
      </c>
      <c r="C42" s="37"/>
      <c r="D42" s="37"/>
      <c r="E42" s="37"/>
      <c r="F42" s="37"/>
      <c r="G42" s="37"/>
      <c r="H42" s="37"/>
      <c r="I42" s="37"/>
      <c r="J42" s="52"/>
    </row>
    <row r="43" spans="2:10">
      <c r="B43" s="41" t="s">
        <v>590</v>
      </c>
      <c r="C43" s="42">
        <v>7.99393648378281</v>
      </c>
      <c r="D43" s="43">
        <v>3.5330409717674041</v>
      </c>
      <c r="E43" s="37"/>
      <c r="F43" s="44">
        <v>71.324089571708356</v>
      </c>
      <c r="G43" s="43">
        <v>0.51839900205358724</v>
      </c>
      <c r="H43" s="43">
        <v>2.2503004296769791</v>
      </c>
      <c r="I43" s="43">
        <v>5.5210502809373061</v>
      </c>
      <c r="J43" s="45">
        <v>7162.0804012536646</v>
      </c>
    </row>
    <row r="44" spans="2:10">
      <c r="B44" s="41" t="s">
        <v>591</v>
      </c>
      <c r="C44" s="42">
        <v>23.355976527950297</v>
      </c>
      <c r="D44" s="43">
        <v>2.4036270152196439</v>
      </c>
      <c r="E44" s="37"/>
      <c r="F44" s="44">
        <v>73.108976894274093</v>
      </c>
      <c r="G44" s="43">
        <v>0.85107978903979942</v>
      </c>
      <c r="H44" s="43">
        <v>11.228108294380119</v>
      </c>
      <c r="I44" s="43">
        <v>13.599458035025311</v>
      </c>
      <c r="J44" s="45">
        <v>554.18796220162585</v>
      </c>
    </row>
    <row r="45" spans="2:10">
      <c r="B45" s="41" t="s">
        <v>592</v>
      </c>
      <c r="C45" s="42">
        <v>60.581104627184551</v>
      </c>
      <c r="D45" s="43">
        <v>0</v>
      </c>
      <c r="E45" s="37"/>
      <c r="F45" s="44">
        <v>100</v>
      </c>
      <c r="G45" s="43">
        <v>0</v>
      </c>
      <c r="H45" s="43">
        <v>0</v>
      </c>
      <c r="I45" s="43">
        <v>0</v>
      </c>
      <c r="J45" s="45">
        <v>5.868489248459956</v>
      </c>
    </row>
    <row r="46" spans="2:10">
      <c r="B46" s="608" t="s">
        <v>593</v>
      </c>
      <c r="C46" s="609"/>
      <c r="D46" s="609"/>
      <c r="E46" s="609"/>
      <c r="F46" s="609"/>
      <c r="G46" s="609"/>
      <c r="H46" s="609"/>
      <c r="I46" s="609"/>
      <c r="J46" s="610"/>
    </row>
    <row r="47" spans="2:10">
      <c r="B47" s="601" t="s">
        <v>594</v>
      </c>
      <c r="C47" s="602"/>
      <c r="D47" s="602"/>
      <c r="E47" s="602"/>
      <c r="F47" s="602"/>
      <c r="G47" s="602"/>
      <c r="H47" s="602"/>
      <c r="I47" s="602"/>
      <c r="J47" s="603"/>
    </row>
    <row r="48" spans="2:10">
      <c r="B48" s="604"/>
      <c r="C48" s="604"/>
      <c r="D48" s="604"/>
      <c r="E48" s="604"/>
      <c r="F48" s="604"/>
      <c r="G48" s="604"/>
      <c r="H48" s="604"/>
      <c r="I48" s="604"/>
      <c r="J48" s="604"/>
    </row>
    <row r="49" spans="2:10" ht="126.75" customHeight="1">
      <c r="B49" s="605" t="s">
        <v>595</v>
      </c>
      <c r="C49" s="606"/>
      <c r="D49" s="606"/>
      <c r="E49" s="606"/>
      <c r="F49" s="606"/>
      <c r="G49" s="606"/>
      <c r="H49" s="606"/>
      <c r="I49" s="606"/>
      <c r="J49" s="607"/>
    </row>
    <row r="53" spans="2:10">
      <c r="B53" s="600" t="s">
        <v>596</v>
      </c>
      <c r="C53" s="600"/>
      <c r="D53" s="600"/>
      <c r="E53" s="600"/>
      <c r="F53" s="600"/>
      <c r="G53" s="600"/>
      <c r="H53" s="600"/>
      <c r="I53" s="600"/>
    </row>
  </sheetData>
  <mergeCells count="19">
    <mergeCell ref="B14:J14"/>
    <mergeCell ref="B13:J13"/>
    <mergeCell ref="B3:M3"/>
    <mergeCell ref="B4:M4"/>
    <mergeCell ref="B6:M6"/>
    <mergeCell ref="B7:M7"/>
    <mergeCell ref="B10:I10"/>
    <mergeCell ref="L15:U28"/>
    <mergeCell ref="B53:I53"/>
    <mergeCell ref="B47:J47"/>
    <mergeCell ref="B48:J48"/>
    <mergeCell ref="B49:J49"/>
    <mergeCell ref="B46:J46"/>
    <mergeCell ref="B15:B16"/>
    <mergeCell ref="J15:J16"/>
    <mergeCell ref="I15:I16"/>
    <mergeCell ref="H15:H16"/>
    <mergeCell ref="F15:G15"/>
    <mergeCell ref="C15:D15"/>
  </mergeCells>
  <hyperlinks>
    <hyperlink ref="L13" r:id="rId1" xr:uid="{426BE694-469C-42D5-BE54-1C6C9A6D8E1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2:Y109"/>
  <sheetViews>
    <sheetView zoomScale="80" zoomScaleNormal="80" workbookViewId="0">
      <selection activeCell="K3" sqref="K3"/>
    </sheetView>
  </sheetViews>
  <sheetFormatPr defaultRowHeight="15"/>
  <cols>
    <col min="1" max="1" width="9.140625" style="70"/>
    <col min="2" max="2" width="15.7109375" style="315" customWidth="1"/>
    <col min="3" max="3" width="11.5703125" style="70" customWidth="1"/>
    <col min="4" max="4" width="10.7109375" style="70" customWidth="1"/>
    <col min="5" max="5" width="10.28515625" style="70" customWidth="1"/>
    <col min="6" max="6" width="9.85546875" style="70" customWidth="1"/>
    <col min="7" max="7" width="10.5703125" style="70" customWidth="1"/>
    <col min="8" max="8" width="11.7109375" style="70" customWidth="1"/>
    <col min="9" max="9" width="6" style="70" customWidth="1"/>
    <col min="10" max="10" width="6.5703125" style="315" customWidth="1"/>
    <col min="11" max="11" width="12.85546875" style="70" customWidth="1"/>
    <col min="12" max="12" width="9.42578125" style="70" customWidth="1"/>
    <col min="13" max="13" width="25.5703125" style="70" customWidth="1"/>
    <col min="14" max="14" width="13.140625" style="70" customWidth="1"/>
    <col min="15" max="15" width="14.7109375" style="70" customWidth="1"/>
    <col min="16" max="16" width="16.42578125" style="70" customWidth="1"/>
    <col min="17" max="17" width="14.140625" style="70" customWidth="1"/>
    <col min="18" max="18" width="14.5703125" style="70" customWidth="1"/>
    <col min="19" max="19" width="9.140625" style="70"/>
    <col min="20" max="20" width="10" style="70" bestFit="1" customWidth="1"/>
    <col min="21" max="21" width="12.5703125" style="70" customWidth="1"/>
    <col min="22" max="16384" width="9.140625" style="70"/>
  </cols>
  <sheetData>
    <row r="2" spans="2:25" ht="36" customHeight="1">
      <c r="B2" s="481" t="s">
        <v>117</v>
      </c>
      <c r="C2" s="481"/>
      <c r="D2" s="481"/>
      <c r="E2" s="481"/>
      <c r="F2" s="481"/>
      <c r="G2" s="481"/>
      <c r="H2" s="481"/>
      <c r="I2" s="481"/>
    </row>
    <row r="3" spans="2:25" ht="81" customHeight="1">
      <c r="B3" s="513" t="s">
        <v>119</v>
      </c>
      <c r="C3" s="513"/>
      <c r="D3" s="513"/>
      <c r="E3" s="513"/>
      <c r="F3" s="513"/>
      <c r="G3" s="513"/>
      <c r="H3" s="513"/>
      <c r="I3" s="513"/>
    </row>
    <row r="5" spans="2:25">
      <c r="B5" s="550" t="s">
        <v>597</v>
      </c>
      <c r="C5" s="550"/>
      <c r="D5" s="550"/>
      <c r="E5" s="550"/>
      <c r="F5" s="550"/>
      <c r="G5" s="550"/>
      <c r="H5" s="550"/>
      <c r="I5" s="550"/>
      <c r="J5" s="550"/>
      <c r="K5" s="550"/>
      <c r="L5" s="550"/>
      <c r="M5" s="550"/>
      <c r="N5" s="550"/>
      <c r="O5" s="550"/>
      <c r="Q5" s="482" t="s">
        <v>1485</v>
      </c>
      <c r="R5" s="549"/>
      <c r="S5" s="549"/>
      <c r="T5" s="549"/>
      <c r="U5" s="549"/>
      <c r="V5" s="549"/>
      <c r="W5" s="549"/>
      <c r="X5" s="549"/>
      <c r="Y5" s="549"/>
    </row>
    <row r="6" spans="2:25">
      <c r="B6" s="513" t="s">
        <v>1486</v>
      </c>
      <c r="C6" s="513"/>
      <c r="D6" s="513"/>
      <c r="E6" s="513"/>
      <c r="F6" s="513"/>
      <c r="G6" s="513"/>
      <c r="H6" s="513"/>
      <c r="I6" s="513"/>
      <c r="J6" s="513"/>
      <c r="K6" s="513"/>
      <c r="L6" s="513"/>
      <c r="M6" s="513"/>
      <c r="N6" s="513"/>
      <c r="O6" s="513"/>
      <c r="Q6" s="549"/>
      <c r="R6" s="549"/>
      <c r="S6" s="549"/>
      <c r="T6" s="549"/>
      <c r="U6" s="549"/>
      <c r="V6" s="549"/>
      <c r="W6" s="549"/>
      <c r="X6" s="549"/>
      <c r="Y6" s="549"/>
    </row>
    <row r="7" spans="2:25">
      <c r="B7" s="513"/>
      <c r="C7" s="513"/>
      <c r="D7" s="513"/>
      <c r="E7" s="513"/>
      <c r="F7" s="513"/>
      <c r="G7" s="513"/>
      <c r="H7" s="513"/>
      <c r="I7" s="513"/>
      <c r="J7" s="513"/>
      <c r="K7" s="513"/>
      <c r="L7" s="513"/>
      <c r="M7" s="513"/>
      <c r="N7" s="513"/>
      <c r="O7" s="513"/>
      <c r="Q7" s="549"/>
      <c r="R7" s="549"/>
      <c r="S7" s="549"/>
      <c r="T7" s="549"/>
      <c r="U7" s="549"/>
      <c r="V7" s="549"/>
      <c r="W7" s="549"/>
      <c r="X7" s="549"/>
      <c r="Y7" s="549"/>
    </row>
    <row r="8" spans="2:25">
      <c r="B8" s="513"/>
      <c r="C8" s="513"/>
      <c r="D8" s="513"/>
      <c r="E8" s="513"/>
      <c r="F8" s="513"/>
      <c r="G8" s="513"/>
      <c r="H8" s="513"/>
      <c r="I8" s="513"/>
      <c r="J8" s="513"/>
      <c r="K8" s="513"/>
      <c r="L8" s="513"/>
      <c r="M8" s="513"/>
      <c r="N8" s="513"/>
      <c r="O8" s="513"/>
      <c r="Q8" s="549"/>
      <c r="R8" s="549"/>
      <c r="S8" s="549"/>
      <c r="T8" s="549"/>
      <c r="U8" s="549"/>
      <c r="V8" s="549"/>
      <c r="W8" s="549"/>
      <c r="X8" s="549"/>
      <c r="Y8" s="549"/>
    </row>
    <row r="9" spans="2:25">
      <c r="B9" s="513"/>
      <c r="C9" s="513"/>
      <c r="D9" s="513"/>
      <c r="E9" s="513"/>
      <c r="F9" s="513"/>
      <c r="G9" s="513"/>
      <c r="H9" s="513"/>
      <c r="I9" s="513"/>
      <c r="J9" s="513"/>
      <c r="K9" s="513"/>
      <c r="L9" s="513"/>
      <c r="M9" s="513"/>
      <c r="N9" s="513"/>
      <c r="O9" s="513"/>
      <c r="Q9" s="549"/>
      <c r="R9" s="549"/>
      <c r="S9" s="549"/>
      <c r="T9" s="549"/>
      <c r="U9" s="549"/>
      <c r="V9" s="549"/>
      <c r="W9" s="549"/>
      <c r="X9" s="549"/>
      <c r="Y9" s="549"/>
    </row>
    <row r="10" spans="2:25">
      <c r="B10" s="513"/>
      <c r="C10" s="513"/>
      <c r="D10" s="513"/>
      <c r="E10" s="513"/>
      <c r="F10" s="513"/>
      <c r="G10" s="513"/>
      <c r="H10" s="513"/>
      <c r="I10" s="513"/>
      <c r="J10" s="513"/>
      <c r="K10" s="513"/>
      <c r="L10" s="513"/>
      <c r="M10" s="513"/>
      <c r="N10" s="513"/>
      <c r="O10" s="513"/>
      <c r="Q10" s="549"/>
      <c r="R10" s="549"/>
      <c r="S10" s="549"/>
      <c r="T10" s="549"/>
      <c r="U10" s="549"/>
      <c r="V10" s="549"/>
      <c r="W10" s="549"/>
      <c r="X10" s="549"/>
      <c r="Y10" s="549"/>
    </row>
    <row r="11" spans="2:25">
      <c r="B11" s="513"/>
      <c r="C11" s="513"/>
      <c r="D11" s="513"/>
      <c r="E11" s="513"/>
      <c r="F11" s="513"/>
      <c r="G11" s="513"/>
      <c r="H11" s="513"/>
      <c r="I11" s="513"/>
      <c r="J11" s="513"/>
      <c r="K11" s="513"/>
      <c r="L11" s="513"/>
      <c r="M11" s="513"/>
      <c r="N11" s="513"/>
      <c r="O11" s="513"/>
      <c r="Q11" s="549"/>
      <c r="R11" s="549"/>
      <c r="S11" s="549"/>
      <c r="T11" s="549"/>
      <c r="U11" s="549"/>
      <c r="V11" s="549"/>
      <c r="W11" s="549"/>
      <c r="X11" s="549"/>
      <c r="Y11" s="549"/>
    </row>
    <row r="12" spans="2:25">
      <c r="B12" s="513"/>
      <c r="C12" s="513"/>
      <c r="D12" s="513"/>
      <c r="E12" s="513"/>
      <c r="F12" s="513"/>
      <c r="G12" s="513"/>
      <c r="H12" s="513"/>
      <c r="I12" s="513"/>
      <c r="J12" s="513"/>
      <c r="K12" s="513"/>
      <c r="L12" s="513"/>
      <c r="M12" s="513"/>
      <c r="N12" s="513"/>
      <c r="O12" s="513"/>
      <c r="Q12" s="549"/>
      <c r="R12" s="549"/>
      <c r="S12" s="549"/>
      <c r="T12" s="549"/>
      <c r="U12" s="549"/>
      <c r="V12" s="549"/>
      <c r="W12" s="549"/>
      <c r="X12" s="549"/>
      <c r="Y12" s="549"/>
    </row>
    <row r="13" spans="2:25">
      <c r="B13" s="513"/>
      <c r="C13" s="513"/>
      <c r="D13" s="513"/>
      <c r="E13" s="513"/>
      <c r="F13" s="513"/>
      <c r="G13" s="513"/>
      <c r="H13" s="513"/>
      <c r="I13" s="513"/>
      <c r="J13" s="513"/>
      <c r="K13" s="513"/>
      <c r="L13" s="513"/>
      <c r="M13" s="513"/>
      <c r="N13" s="513"/>
      <c r="O13" s="513"/>
    </row>
    <row r="14" spans="2:25">
      <c r="B14" s="513"/>
      <c r="C14" s="513"/>
      <c r="D14" s="513"/>
      <c r="E14" s="513"/>
      <c r="F14" s="513"/>
      <c r="G14" s="513"/>
      <c r="H14" s="513"/>
      <c r="I14" s="513"/>
      <c r="J14" s="513"/>
      <c r="K14" s="513"/>
      <c r="L14" s="513"/>
      <c r="M14" s="513"/>
      <c r="N14" s="513"/>
      <c r="O14" s="513"/>
    </row>
    <row r="15" spans="2:25" ht="15.75" customHeight="1">
      <c r="B15" s="513"/>
      <c r="C15" s="513"/>
      <c r="D15" s="513"/>
      <c r="E15" s="513"/>
      <c r="F15" s="513"/>
      <c r="G15" s="513"/>
      <c r="H15" s="513"/>
      <c r="I15" s="513"/>
      <c r="J15" s="513"/>
      <c r="K15" s="513"/>
      <c r="L15" s="513"/>
      <c r="M15" s="513"/>
      <c r="N15" s="513"/>
      <c r="O15" s="513"/>
    </row>
    <row r="16" spans="2:25" ht="15.75" customHeight="1">
      <c r="B16" s="513"/>
      <c r="C16" s="513"/>
      <c r="D16" s="513"/>
      <c r="E16" s="513"/>
      <c r="F16" s="513"/>
      <c r="G16" s="513"/>
      <c r="H16" s="513"/>
      <c r="I16" s="513"/>
      <c r="J16" s="513"/>
      <c r="K16" s="513"/>
      <c r="L16" s="513"/>
      <c r="M16" s="513"/>
      <c r="N16" s="513"/>
      <c r="O16" s="513"/>
    </row>
    <row r="19" spans="2:15">
      <c r="B19" s="631" t="s">
        <v>598</v>
      </c>
      <c r="C19" s="631"/>
      <c r="D19" s="631"/>
      <c r="E19" s="631"/>
      <c r="F19" s="631"/>
      <c r="G19" s="631"/>
      <c r="H19" s="631"/>
      <c r="I19" s="631"/>
      <c r="J19" s="631"/>
      <c r="K19" s="631"/>
    </row>
    <row r="22" spans="2:15">
      <c r="B22" s="630" t="s">
        <v>1487</v>
      </c>
      <c r="C22" s="630"/>
      <c r="D22" s="630"/>
      <c r="E22" s="630"/>
      <c r="F22" s="630"/>
      <c r="G22" s="630"/>
      <c r="H22" s="630"/>
      <c r="I22" s="630"/>
      <c r="J22" s="630"/>
      <c r="K22" s="630"/>
      <c r="L22" s="630"/>
      <c r="M22" s="630"/>
      <c r="N22" s="630"/>
      <c r="O22" s="630"/>
    </row>
    <row r="23" spans="2:15" ht="38.25">
      <c r="B23" s="316"/>
      <c r="C23" s="316" t="s">
        <v>599</v>
      </c>
      <c r="D23" s="316" t="s">
        <v>600</v>
      </c>
      <c r="E23" s="316" t="s">
        <v>601</v>
      </c>
      <c r="F23" s="316" t="s">
        <v>602</v>
      </c>
      <c r="G23" s="316" t="s">
        <v>603</v>
      </c>
      <c r="H23" s="316" t="s">
        <v>604</v>
      </c>
      <c r="I23" s="316" t="s">
        <v>605</v>
      </c>
      <c r="J23" s="316" t="s">
        <v>606</v>
      </c>
      <c r="K23" s="316" t="s">
        <v>602</v>
      </c>
      <c r="L23" s="316" t="s">
        <v>607</v>
      </c>
      <c r="M23" s="316" t="s">
        <v>608</v>
      </c>
      <c r="N23" s="316" t="s">
        <v>602</v>
      </c>
      <c r="O23" s="316" t="s">
        <v>609</v>
      </c>
    </row>
    <row r="24" spans="2:15">
      <c r="B24" s="153">
        <v>2008</v>
      </c>
      <c r="C24" s="140">
        <v>1097</v>
      </c>
      <c r="D24" s="140">
        <v>134</v>
      </c>
      <c r="E24" s="140">
        <v>1231</v>
      </c>
      <c r="F24" s="140"/>
      <c r="G24" s="140">
        <v>194</v>
      </c>
      <c r="H24" s="140">
        <v>18</v>
      </c>
      <c r="I24" s="140">
        <v>78</v>
      </c>
      <c r="J24" s="153">
        <v>212</v>
      </c>
      <c r="K24" s="140"/>
      <c r="L24" s="140">
        <v>1521</v>
      </c>
      <c r="M24" s="140"/>
      <c r="N24" s="140"/>
      <c r="O24" s="140">
        <v>152644</v>
      </c>
    </row>
    <row r="25" spans="2:15">
      <c r="B25" s="153">
        <v>2009</v>
      </c>
      <c r="C25" s="140">
        <v>980</v>
      </c>
      <c r="D25" s="140">
        <v>164</v>
      </c>
      <c r="E25" s="140">
        <v>1144</v>
      </c>
      <c r="F25" s="140"/>
      <c r="G25" s="140">
        <v>194</v>
      </c>
      <c r="H25" s="140">
        <v>12</v>
      </c>
      <c r="I25" s="140">
        <v>78</v>
      </c>
      <c r="J25" s="153">
        <v>206</v>
      </c>
      <c r="K25" s="140"/>
      <c r="L25" s="140">
        <v>1428</v>
      </c>
      <c r="M25" s="140"/>
      <c r="N25" s="140"/>
      <c r="O25" s="140">
        <v>108113</v>
      </c>
    </row>
    <row r="26" spans="2:15">
      <c r="B26" s="153">
        <v>2010</v>
      </c>
      <c r="C26" s="140">
        <v>953</v>
      </c>
      <c r="D26" s="140">
        <v>168</v>
      </c>
      <c r="E26" s="140">
        <v>1121</v>
      </c>
      <c r="F26" s="140"/>
      <c r="G26" s="140">
        <v>117</v>
      </c>
      <c r="H26" s="140">
        <v>14</v>
      </c>
      <c r="I26" s="140">
        <v>49</v>
      </c>
      <c r="J26" s="153">
        <v>131</v>
      </c>
      <c r="K26" s="140"/>
      <c r="L26" s="140">
        <v>1301</v>
      </c>
      <c r="M26" s="140"/>
      <c r="N26" s="140"/>
      <c r="O26" s="140">
        <v>128571</v>
      </c>
    </row>
    <row r="27" spans="2:15">
      <c r="B27" s="153">
        <v>2011</v>
      </c>
      <c r="C27" s="140">
        <v>897</v>
      </c>
      <c r="D27" s="140">
        <v>199</v>
      </c>
      <c r="E27" s="140">
        <v>1096</v>
      </c>
      <c r="F27" s="317">
        <f>(E27/M27)*100000</f>
        <v>582.26946963539092</v>
      </c>
      <c r="G27" s="140">
        <v>147</v>
      </c>
      <c r="H27" s="140">
        <v>9</v>
      </c>
      <c r="I27" s="140">
        <v>5</v>
      </c>
      <c r="J27" s="153">
        <v>156</v>
      </c>
      <c r="K27" s="317">
        <f>(J27/M27)*100000</f>
        <v>82.877771225475342</v>
      </c>
      <c r="L27" s="140">
        <v>1257</v>
      </c>
      <c r="M27" s="318">
        <v>188229</v>
      </c>
      <c r="N27" s="319">
        <f>(L27/M27)*100000</f>
        <v>667.80357968219562</v>
      </c>
      <c r="O27" s="140">
        <v>83463</v>
      </c>
    </row>
    <row r="28" spans="2:15">
      <c r="B28" s="153">
        <v>2012</v>
      </c>
      <c r="C28" s="140">
        <v>767</v>
      </c>
      <c r="D28" s="140">
        <v>200</v>
      </c>
      <c r="E28" s="140">
        <v>967</v>
      </c>
      <c r="F28" s="317">
        <f>(E28/M28)*100000</f>
        <v>506.94289327520625</v>
      </c>
      <c r="G28" s="140">
        <v>153</v>
      </c>
      <c r="H28" s="140">
        <v>8</v>
      </c>
      <c r="I28" s="140">
        <v>0</v>
      </c>
      <c r="J28" s="153">
        <v>161</v>
      </c>
      <c r="K28" s="317">
        <f>(J28/M28)*100000</f>
        <v>84.403108394320782</v>
      </c>
      <c r="L28" s="140">
        <v>1128</v>
      </c>
      <c r="M28" s="318">
        <f>188229+ (M27/100)*1.34</f>
        <v>190751.26860000001</v>
      </c>
      <c r="N28" s="319">
        <f>(L28/M28)*100000</f>
        <v>591.34600166952703</v>
      </c>
      <c r="O28" s="140">
        <v>77047</v>
      </c>
    </row>
    <row r="29" spans="2:15">
      <c r="B29" s="153">
        <v>2013</v>
      </c>
      <c r="C29" s="140">
        <v>725</v>
      </c>
      <c r="D29" s="140">
        <v>234</v>
      </c>
      <c r="E29" s="140">
        <v>959</v>
      </c>
      <c r="F29" s="317">
        <f>(E29/M29)*100000</f>
        <v>496.10119400133635</v>
      </c>
      <c r="G29" s="140">
        <v>151</v>
      </c>
      <c r="H29" s="140">
        <v>11</v>
      </c>
      <c r="I29" s="140">
        <v>0</v>
      </c>
      <c r="J29" s="153">
        <v>162</v>
      </c>
      <c r="K29" s="317">
        <f>(J29/M29)*100000</f>
        <v>83.804372709297695</v>
      </c>
      <c r="L29" s="140">
        <v>1121</v>
      </c>
      <c r="M29" s="318">
        <f t="shared" ref="M29:M36" si="0">M28+ (M28/100)*1.34</f>
        <v>193307.33559924</v>
      </c>
      <c r="N29" s="319">
        <f>(L29/M29)*100000</f>
        <v>579.90556671063405</v>
      </c>
      <c r="O29" s="140">
        <v>102410</v>
      </c>
    </row>
    <row r="30" spans="2:15">
      <c r="B30" s="153">
        <v>2014</v>
      </c>
      <c r="C30" s="140">
        <v>703</v>
      </c>
      <c r="D30" s="140">
        <v>167</v>
      </c>
      <c r="E30" s="140">
        <v>870</v>
      </c>
      <c r="F30" s="317">
        <f>(E30/M30)*100000</f>
        <v>444.10945342953187</v>
      </c>
      <c r="G30" s="140">
        <v>139</v>
      </c>
      <c r="H30" s="140">
        <v>12</v>
      </c>
      <c r="I30" s="140">
        <v>20</v>
      </c>
      <c r="J30" s="153">
        <v>151</v>
      </c>
      <c r="K30" s="317">
        <f>(J30/M30)*100000</f>
        <v>77.081066055010709</v>
      </c>
      <c r="L30" s="140">
        <v>1041</v>
      </c>
      <c r="M30" s="318">
        <f t="shared" si="0"/>
        <v>195897.65389626983</v>
      </c>
      <c r="N30" s="319">
        <f>(L30/M30)*100000</f>
        <v>531.3999322070606</v>
      </c>
      <c r="O30" s="140">
        <v>107616</v>
      </c>
    </row>
    <row r="31" spans="2:15">
      <c r="B31" s="153"/>
      <c r="C31" s="140"/>
      <c r="D31" s="140"/>
      <c r="E31" s="140"/>
      <c r="F31" s="317"/>
      <c r="G31" s="140"/>
      <c r="H31" s="140"/>
      <c r="I31" s="140"/>
      <c r="J31" s="153"/>
      <c r="K31" s="317"/>
      <c r="L31" s="140"/>
      <c r="M31" s="318">
        <f t="shared" si="0"/>
        <v>198522.68245847983</v>
      </c>
      <c r="N31" s="319"/>
      <c r="O31" s="140"/>
    </row>
    <row r="32" spans="2:15">
      <c r="B32" s="153">
        <v>2015</v>
      </c>
      <c r="C32" s="140">
        <v>644</v>
      </c>
      <c r="D32" s="140">
        <v>207</v>
      </c>
      <c r="E32" s="140">
        <v>851</v>
      </c>
      <c r="F32" s="317">
        <f>(E32/M32)*100000</f>
        <v>422.99820586803088</v>
      </c>
      <c r="G32" s="140">
        <v>130</v>
      </c>
      <c r="H32" s="140">
        <v>7</v>
      </c>
      <c r="I32" s="140">
        <v>57</v>
      </c>
      <c r="J32" s="153">
        <v>137</v>
      </c>
      <c r="K32" s="317">
        <f>(J32/M32)*100000</f>
        <v>68.097243482867484</v>
      </c>
      <c r="L32" s="140">
        <v>1045</v>
      </c>
      <c r="M32" s="318">
        <f t="shared" si="0"/>
        <v>201182.88640342347</v>
      </c>
      <c r="N32" s="319">
        <f>(L32/M32)*100000</f>
        <v>519.4278791211425</v>
      </c>
      <c r="O32" s="140"/>
    </row>
    <row r="33" spans="2:18">
      <c r="B33" s="153">
        <v>2016</v>
      </c>
      <c r="C33" s="140">
        <v>697</v>
      </c>
      <c r="D33" s="140">
        <v>108</v>
      </c>
      <c r="E33" s="140">
        <v>805</v>
      </c>
      <c r="F33" s="317">
        <f>(E33/M33)*100000</f>
        <v>394.84254784218717</v>
      </c>
      <c r="G33" s="140">
        <v>69</v>
      </c>
      <c r="H33" s="140">
        <v>9</v>
      </c>
      <c r="I33" s="140">
        <v>4</v>
      </c>
      <c r="J33" s="153">
        <v>78</v>
      </c>
      <c r="K33" s="317">
        <f>(J33/M33)*100000</f>
        <v>38.258035691541124</v>
      </c>
      <c r="L33" s="140">
        <v>887</v>
      </c>
      <c r="M33" s="318">
        <f t="shared" si="0"/>
        <v>203878.73708122934</v>
      </c>
      <c r="N33" s="319">
        <f>(L33/M33)*100000</f>
        <v>435.06253408201252</v>
      </c>
      <c r="O33" s="140">
        <v>74420</v>
      </c>
    </row>
    <row r="34" spans="2:18">
      <c r="B34" s="153">
        <v>2017</v>
      </c>
      <c r="C34" s="140">
        <v>637</v>
      </c>
      <c r="D34" s="140">
        <v>81</v>
      </c>
      <c r="E34" s="140">
        <v>718</v>
      </c>
      <c r="F34" s="317">
        <f>(E34/M34)*100000</f>
        <v>347.51344327709364</v>
      </c>
      <c r="G34" s="140">
        <v>47</v>
      </c>
      <c r="H34" s="140">
        <v>7</v>
      </c>
      <c r="I34" s="140">
        <v>8</v>
      </c>
      <c r="J34" s="153">
        <v>54</v>
      </c>
      <c r="K34" s="317">
        <f>(J34/M34)*100000</f>
        <v>26.136108547302307</v>
      </c>
      <c r="L34" s="140">
        <v>780</v>
      </c>
      <c r="M34" s="318">
        <f t="shared" si="0"/>
        <v>206610.71215811782</v>
      </c>
      <c r="N34" s="319">
        <f>(L34/M34)*100000</f>
        <v>377.52156790547781</v>
      </c>
      <c r="O34" s="140">
        <v>49044</v>
      </c>
    </row>
    <row r="35" spans="2:18">
      <c r="B35" s="185">
        <v>2018</v>
      </c>
      <c r="C35" s="13">
        <v>682</v>
      </c>
      <c r="D35" s="13">
        <v>102</v>
      </c>
      <c r="E35" s="13">
        <f>SUM(C35:D35)</f>
        <v>784</v>
      </c>
      <c r="F35" s="317">
        <f>(E35/M35)*100000</f>
        <v>374.44007888890729</v>
      </c>
      <c r="G35" s="13">
        <v>72</v>
      </c>
      <c r="H35" s="13">
        <v>6</v>
      </c>
      <c r="I35" s="13"/>
      <c r="J35" s="185">
        <f>SUM(G35:I35)</f>
        <v>78</v>
      </c>
      <c r="K35" s="317">
        <f>(J35/M35)*100000</f>
        <v>37.252967032314757</v>
      </c>
      <c r="L35" s="13">
        <v>862</v>
      </c>
      <c r="M35" s="318">
        <f t="shared" si="0"/>
        <v>209379.29570103661</v>
      </c>
      <c r="N35" s="319">
        <f>(L35/M35)*100000</f>
        <v>411.69304592122205</v>
      </c>
      <c r="O35" s="13">
        <v>64114</v>
      </c>
    </row>
    <row r="36" spans="2:18">
      <c r="B36" s="153">
        <v>2019</v>
      </c>
      <c r="C36" s="13">
        <v>577</v>
      </c>
      <c r="D36" s="13">
        <v>98</v>
      </c>
      <c r="E36" s="13">
        <f>SUM(C36:D36)</f>
        <v>675</v>
      </c>
      <c r="F36" s="317">
        <f>(E36/M36)*100000</f>
        <v>318.11865548840996</v>
      </c>
      <c r="G36" s="13">
        <v>62</v>
      </c>
      <c r="H36" s="13">
        <v>14</v>
      </c>
      <c r="I36" s="13"/>
      <c r="J36" s="185">
        <f>SUM(G36:I36)</f>
        <v>76</v>
      </c>
      <c r="K36" s="317">
        <f>(J36/M36)*100000</f>
        <v>35.817804173509863</v>
      </c>
      <c r="L36" s="13">
        <v>751</v>
      </c>
      <c r="M36" s="318">
        <f t="shared" si="0"/>
        <v>212184.9782634305</v>
      </c>
      <c r="N36" s="319">
        <f>(L36/M36)*100000</f>
        <v>353.9364596619198</v>
      </c>
      <c r="O36" s="13">
        <v>110935</v>
      </c>
    </row>
    <row r="37" spans="2:18">
      <c r="B37" s="153">
        <v>2020</v>
      </c>
      <c r="C37" s="13">
        <v>341</v>
      </c>
      <c r="D37" s="13">
        <v>55</v>
      </c>
      <c r="E37" s="13">
        <f>C37+D37</f>
        <v>396</v>
      </c>
      <c r="F37" s="317"/>
      <c r="G37" s="13">
        <v>38</v>
      </c>
      <c r="H37" s="13">
        <v>10</v>
      </c>
      <c r="I37" s="13"/>
      <c r="J37" s="185">
        <f>H37+I37</f>
        <v>10</v>
      </c>
      <c r="K37" s="317"/>
      <c r="L37" s="13">
        <v>444</v>
      </c>
      <c r="M37" s="320"/>
      <c r="N37" s="319"/>
      <c r="O37" s="13">
        <v>88465</v>
      </c>
    </row>
    <row r="38" spans="2:18">
      <c r="B38" s="153">
        <v>2021</v>
      </c>
      <c r="C38" s="13">
        <v>233</v>
      </c>
      <c r="D38" s="13">
        <v>69</v>
      </c>
      <c r="E38" s="13">
        <f>C38+D38</f>
        <v>302</v>
      </c>
      <c r="F38" s="317"/>
      <c r="G38" s="13">
        <v>26</v>
      </c>
      <c r="H38" s="13">
        <v>5</v>
      </c>
      <c r="I38" s="13"/>
      <c r="J38" s="185">
        <f>H38+I38</f>
        <v>5</v>
      </c>
      <c r="K38" s="317"/>
      <c r="L38" s="13">
        <v>333</v>
      </c>
      <c r="M38" s="320"/>
      <c r="N38" s="319"/>
      <c r="O38" s="234" t="s">
        <v>610</v>
      </c>
    </row>
    <row r="39" spans="2:18">
      <c r="B39" s="633" t="s">
        <v>611</v>
      </c>
      <c r="C39" s="633"/>
      <c r="D39" s="633"/>
      <c r="E39" s="633"/>
      <c r="F39" s="633"/>
      <c r="K39" s="322"/>
      <c r="M39" s="323"/>
      <c r="N39" s="324"/>
    </row>
    <row r="40" spans="2:18" ht="14.25" customHeight="1">
      <c r="B40" s="633" t="s">
        <v>521</v>
      </c>
      <c r="C40" s="633"/>
      <c r="D40" s="633"/>
      <c r="E40" s="633"/>
      <c r="F40" s="633"/>
      <c r="K40" s="322"/>
      <c r="M40" s="323"/>
      <c r="N40" s="324"/>
    </row>
    <row r="41" spans="2:18" ht="14.25" customHeight="1">
      <c r="B41" s="321" t="s">
        <v>362</v>
      </c>
      <c r="C41" s="126" t="s">
        <v>87</v>
      </c>
      <c r="D41" s="321"/>
      <c r="E41" s="321"/>
      <c r="F41" s="321"/>
      <c r="K41" s="322"/>
      <c r="M41" s="323"/>
      <c r="N41" s="324"/>
    </row>
    <row r="42" spans="2:18" ht="18" customHeight="1">
      <c r="B42" s="633" t="s">
        <v>612</v>
      </c>
      <c r="C42" s="633"/>
      <c r="D42" s="633"/>
      <c r="E42" s="633"/>
      <c r="F42" s="633"/>
      <c r="G42" s="633"/>
      <c r="H42" s="633"/>
      <c r="I42" s="633"/>
      <c r="J42" s="633"/>
      <c r="K42" s="633"/>
      <c r="L42" s="633"/>
      <c r="M42" s="633"/>
      <c r="N42" s="633"/>
      <c r="O42" s="633"/>
    </row>
    <row r="43" spans="2:18">
      <c r="B43" s="325"/>
      <c r="F43" s="326"/>
      <c r="K43" s="326"/>
      <c r="M43" s="327"/>
      <c r="N43" s="328"/>
    </row>
    <row r="44" spans="2:18">
      <c r="B44" s="325"/>
      <c r="F44" s="326"/>
      <c r="K44" s="326"/>
      <c r="M44" s="327"/>
      <c r="N44" s="328"/>
    </row>
    <row r="45" spans="2:18" ht="30" customHeight="1">
      <c r="B45" s="634" t="s">
        <v>613</v>
      </c>
      <c r="C45" s="635"/>
      <c r="D45" s="635"/>
      <c r="E45" s="635"/>
      <c r="F45" s="635"/>
      <c r="G45" s="635"/>
      <c r="H45" s="635"/>
      <c r="I45" s="635"/>
      <c r="J45" s="70"/>
    </row>
    <row r="46" spans="2:18">
      <c r="B46" s="153" t="s">
        <v>614</v>
      </c>
      <c r="C46" s="288">
        <v>2015</v>
      </c>
      <c r="D46" s="288">
        <v>2016</v>
      </c>
      <c r="E46" s="288">
        <v>2017</v>
      </c>
      <c r="F46" s="329">
        <v>2018</v>
      </c>
      <c r="G46" s="288">
        <v>2019</v>
      </c>
      <c r="H46" s="288"/>
      <c r="I46" s="288"/>
      <c r="K46" s="326"/>
      <c r="R46" s="276"/>
    </row>
    <row r="47" spans="2:18" ht="32.25" customHeight="1">
      <c r="B47" s="21" t="s">
        <v>617</v>
      </c>
      <c r="C47" s="330">
        <v>422.99820586803088</v>
      </c>
      <c r="D47" s="330">
        <v>394.84254784218717</v>
      </c>
      <c r="E47" s="330">
        <v>347.51344327709364</v>
      </c>
      <c r="F47" s="330">
        <v>374.44007888890729</v>
      </c>
      <c r="G47" s="331">
        <v>318.11865548840996</v>
      </c>
      <c r="H47" s="288"/>
      <c r="I47" s="288"/>
      <c r="K47" s="326"/>
      <c r="R47" s="332"/>
    </row>
    <row r="48" spans="2:18">
      <c r="B48" s="21" t="s">
        <v>619</v>
      </c>
      <c r="C48" s="333">
        <v>137</v>
      </c>
      <c r="D48" s="333">
        <v>78</v>
      </c>
      <c r="E48" s="333">
        <v>54</v>
      </c>
      <c r="F48" s="222">
        <v>78</v>
      </c>
      <c r="G48" s="222">
        <v>76</v>
      </c>
      <c r="H48" s="288"/>
      <c r="I48" s="288"/>
      <c r="K48" s="326"/>
      <c r="R48" s="332"/>
    </row>
    <row r="49" spans="2:18">
      <c r="R49" s="332"/>
    </row>
    <row r="50" spans="2:18" ht="30" customHeight="1">
      <c r="R50" s="332"/>
    </row>
    <row r="51" spans="2:18">
      <c r="B51" s="632" t="s">
        <v>623</v>
      </c>
      <c r="C51" s="632"/>
      <c r="D51" s="632"/>
      <c r="E51" s="632"/>
      <c r="F51" s="632"/>
      <c r="G51" s="632"/>
      <c r="H51" s="632"/>
      <c r="I51" s="632"/>
      <c r="R51" s="332"/>
    </row>
    <row r="52" spans="2:18">
      <c r="R52" s="332"/>
    </row>
    <row r="53" spans="2:18" ht="31.5" customHeight="1">
      <c r="B53" s="553" t="s">
        <v>625</v>
      </c>
      <c r="C53" s="554"/>
      <c r="D53" s="554"/>
      <c r="E53" s="554"/>
      <c r="F53" s="555"/>
      <c r="G53" s="315"/>
      <c r="H53" s="315"/>
      <c r="I53" s="315"/>
      <c r="R53" s="332"/>
    </row>
    <row r="54" spans="2:18" ht="28.5" customHeight="1">
      <c r="B54" s="334" t="s">
        <v>627</v>
      </c>
      <c r="C54" s="334">
        <v>2017</v>
      </c>
      <c r="D54" s="334">
        <v>2018</v>
      </c>
      <c r="E54" s="334">
        <v>2019</v>
      </c>
      <c r="F54" s="334">
        <v>2020</v>
      </c>
      <c r="R54" s="332"/>
    </row>
    <row r="55" spans="2:18" ht="15.75">
      <c r="B55" s="335" t="s">
        <v>628</v>
      </c>
      <c r="C55" s="336">
        <v>101</v>
      </c>
      <c r="D55" s="336">
        <v>114</v>
      </c>
      <c r="E55" s="336">
        <v>96</v>
      </c>
      <c r="F55" s="336">
        <v>62</v>
      </c>
      <c r="R55" s="332"/>
    </row>
    <row r="56" spans="2:18" ht="15.75">
      <c r="B56" s="335" t="s">
        <v>630</v>
      </c>
      <c r="C56" s="336">
        <v>8</v>
      </c>
      <c r="D56" s="336">
        <v>1</v>
      </c>
      <c r="E56" s="336"/>
      <c r="F56" s="336">
        <v>1</v>
      </c>
      <c r="R56" s="332"/>
    </row>
    <row r="57" spans="2:18" ht="15.75">
      <c r="B57" s="335" t="s">
        <v>632</v>
      </c>
      <c r="C57" s="336">
        <v>47</v>
      </c>
      <c r="D57" s="336">
        <v>53</v>
      </c>
      <c r="E57" s="336">
        <v>48</v>
      </c>
      <c r="F57" s="336">
        <v>32</v>
      </c>
      <c r="R57" s="332"/>
    </row>
    <row r="58" spans="2:18" ht="15.75">
      <c r="B58" s="335" t="s">
        <v>634</v>
      </c>
      <c r="C58" s="336">
        <v>272</v>
      </c>
      <c r="D58" s="336">
        <v>289</v>
      </c>
      <c r="E58" s="336">
        <v>267</v>
      </c>
      <c r="F58" s="336">
        <v>149</v>
      </c>
      <c r="R58" s="332"/>
    </row>
    <row r="59" spans="2:18" ht="15.75">
      <c r="B59" s="335" t="s">
        <v>636</v>
      </c>
      <c r="C59" s="336">
        <v>208</v>
      </c>
      <c r="D59" s="336">
        <v>264</v>
      </c>
      <c r="E59" s="336">
        <v>213</v>
      </c>
      <c r="F59" s="336">
        <v>118</v>
      </c>
      <c r="R59" s="332"/>
    </row>
    <row r="60" spans="2:18" ht="15.75">
      <c r="B60" s="335" t="s">
        <v>638</v>
      </c>
      <c r="C60" s="336">
        <v>134</v>
      </c>
      <c r="D60" s="336">
        <v>125</v>
      </c>
      <c r="E60" s="336">
        <v>99</v>
      </c>
      <c r="F60" s="336">
        <v>69</v>
      </c>
      <c r="R60" s="332"/>
    </row>
    <row r="61" spans="2:18" ht="15.75">
      <c r="B61" s="335" t="s">
        <v>640</v>
      </c>
      <c r="C61" s="336">
        <v>2</v>
      </c>
      <c r="D61" s="336">
        <v>3</v>
      </c>
      <c r="E61" s="336">
        <v>2</v>
      </c>
      <c r="F61" s="336">
        <v>2</v>
      </c>
      <c r="R61" s="332"/>
    </row>
    <row r="62" spans="2:18" ht="15.75">
      <c r="B62" s="335" t="s">
        <v>642</v>
      </c>
      <c r="C62" s="336">
        <v>8</v>
      </c>
      <c r="D62" s="336">
        <v>13</v>
      </c>
      <c r="E62" s="336">
        <v>26</v>
      </c>
      <c r="F62" s="336">
        <v>11</v>
      </c>
      <c r="R62" s="332"/>
    </row>
    <row r="63" spans="2:18" ht="15.75">
      <c r="B63" s="335" t="s">
        <v>644</v>
      </c>
      <c r="C63" s="336"/>
      <c r="D63" s="336"/>
      <c r="E63" s="336"/>
      <c r="F63" s="336"/>
      <c r="R63" s="332"/>
    </row>
    <row r="64" spans="2:18" ht="15.75">
      <c r="B64" s="335" t="s">
        <v>646</v>
      </c>
      <c r="C64" s="336">
        <v>780</v>
      </c>
      <c r="D64" s="336">
        <v>862</v>
      </c>
      <c r="E64" s="336">
        <v>751</v>
      </c>
      <c r="F64" s="336">
        <v>444</v>
      </c>
      <c r="R64" s="332"/>
    </row>
    <row r="65" spans="2:18">
      <c r="R65" s="332"/>
    </row>
    <row r="66" spans="2:18" ht="72" customHeight="1">
      <c r="R66" s="332"/>
    </row>
    <row r="67" spans="2:18" ht="33.75" customHeight="1">
      <c r="B67" s="639" t="s">
        <v>650</v>
      </c>
      <c r="C67" s="640"/>
      <c r="D67" s="640"/>
      <c r="E67" s="640"/>
      <c r="F67" s="641"/>
      <c r="R67" s="332"/>
    </row>
    <row r="68" spans="2:18" ht="18.75" customHeight="1">
      <c r="B68" s="337" t="s">
        <v>652</v>
      </c>
      <c r="C68" s="338">
        <v>2017</v>
      </c>
      <c r="D68" s="339">
        <v>2018</v>
      </c>
      <c r="E68" s="339">
        <v>2019</v>
      </c>
      <c r="F68" s="339">
        <v>2020</v>
      </c>
      <c r="R68" s="332"/>
    </row>
    <row r="69" spans="2:18">
      <c r="B69" s="340" t="s">
        <v>653</v>
      </c>
      <c r="C69" s="68">
        <v>52</v>
      </c>
      <c r="D69" s="68">
        <v>47</v>
      </c>
      <c r="E69" s="68">
        <v>37</v>
      </c>
      <c r="F69" s="68">
        <v>20</v>
      </c>
    </row>
    <row r="70" spans="2:18">
      <c r="B70" s="340" t="s">
        <v>654</v>
      </c>
      <c r="C70" s="68">
        <v>95</v>
      </c>
      <c r="D70" s="68">
        <v>109</v>
      </c>
      <c r="E70" s="68">
        <v>84</v>
      </c>
      <c r="F70" s="68">
        <v>44</v>
      </c>
    </row>
    <row r="71" spans="2:18">
      <c r="B71" s="340" t="s">
        <v>655</v>
      </c>
      <c r="C71" s="68">
        <v>118</v>
      </c>
      <c r="D71" s="68">
        <v>106</v>
      </c>
      <c r="E71" s="68">
        <v>62</v>
      </c>
      <c r="F71" s="68">
        <v>45</v>
      </c>
    </row>
    <row r="72" spans="2:18">
      <c r="B72" s="340" t="s">
        <v>657</v>
      </c>
      <c r="C72" s="68">
        <v>229</v>
      </c>
      <c r="D72" s="68">
        <v>255</v>
      </c>
      <c r="E72" s="68">
        <v>246</v>
      </c>
      <c r="F72" s="68">
        <v>139</v>
      </c>
    </row>
    <row r="73" spans="2:18">
      <c r="B73" s="340" t="s">
        <v>658</v>
      </c>
      <c r="C73" s="68">
        <v>245</v>
      </c>
      <c r="D73" s="68">
        <v>296</v>
      </c>
      <c r="E73" s="68">
        <v>280</v>
      </c>
      <c r="F73" s="68">
        <v>153</v>
      </c>
    </row>
    <row r="74" spans="2:18">
      <c r="B74" s="340" t="s">
        <v>659</v>
      </c>
      <c r="C74" s="68">
        <v>41</v>
      </c>
      <c r="D74" s="68">
        <v>44</v>
      </c>
      <c r="E74" s="68">
        <v>42</v>
      </c>
      <c r="F74" s="68">
        <v>43</v>
      </c>
    </row>
    <row r="75" spans="2:18">
      <c r="B75" s="340" t="s">
        <v>478</v>
      </c>
      <c r="C75" s="68"/>
      <c r="D75" s="68">
        <v>5</v>
      </c>
      <c r="E75" s="68"/>
      <c r="F75" s="68">
        <v>43</v>
      </c>
    </row>
    <row r="76" spans="2:18">
      <c r="B76" s="340" t="s">
        <v>306</v>
      </c>
      <c r="C76" s="68">
        <v>780</v>
      </c>
      <c r="D76" s="68">
        <v>862</v>
      </c>
      <c r="E76" s="68">
        <v>751</v>
      </c>
      <c r="F76" s="68">
        <v>444</v>
      </c>
    </row>
    <row r="77" spans="2:18" ht="110.25" customHeight="1">
      <c r="B77" s="638" t="s">
        <v>660</v>
      </c>
      <c r="C77" s="638"/>
      <c r="D77" s="638"/>
      <c r="E77" s="638"/>
      <c r="F77" s="638"/>
      <c r="G77" s="638"/>
      <c r="H77" s="638"/>
      <c r="I77" s="638"/>
      <c r="J77" s="638"/>
      <c r="K77" s="638"/>
      <c r="L77" s="638"/>
    </row>
    <row r="83" spans="2:6">
      <c r="B83" s="341"/>
      <c r="C83" s="636">
        <v>2020</v>
      </c>
      <c r="D83" s="636"/>
      <c r="E83" s="636">
        <v>2021</v>
      </c>
      <c r="F83" s="636"/>
    </row>
    <row r="84" spans="2:6">
      <c r="B84" s="342" t="s">
        <v>615</v>
      </c>
      <c r="C84" s="342" t="s">
        <v>606</v>
      </c>
      <c r="D84" s="342" t="s">
        <v>616</v>
      </c>
      <c r="E84" s="342" t="s">
        <v>606</v>
      </c>
      <c r="F84" s="342" t="s">
        <v>616</v>
      </c>
    </row>
    <row r="85" spans="2:6" ht="38.25">
      <c r="B85" s="343" t="s">
        <v>618</v>
      </c>
      <c r="C85" s="344">
        <v>134</v>
      </c>
      <c r="D85" s="344">
        <v>9</v>
      </c>
      <c r="E85" s="344">
        <f>71+8</f>
        <v>79</v>
      </c>
      <c r="F85" s="344">
        <v>3</v>
      </c>
    </row>
    <row r="86" spans="2:6" ht="38.25">
      <c r="B86" s="345" t="s">
        <v>620</v>
      </c>
      <c r="C86" s="344">
        <v>16</v>
      </c>
      <c r="D86" s="344">
        <v>2</v>
      </c>
      <c r="E86" s="344">
        <f>11+4</f>
        <v>15</v>
      </c>
      <c r="F86" s="344" t="s">
        <v>545</v>
      </c>
    </row>
    <row r="87" spans="2:6" ht="38.25">
      <c r="B87" s="345" t="s">
        <v>621</v>
      </c>
      <c r="C87" s="344">
        <v>74</v>
      </c>
      <c r="D87" s="344">
        <v>11</v>
      </c>
      <c r="E87" s="344">
        <f>44+13</f>
        <v>57</v>
      </c>
      <c r="F87" s="344">
        <v>11</v>
      </c>
    </row>
    <row r="88" spans="2:6" ht="51">
      <c r="B88" s="345" t="s">
        <v>622</v>
      </c>
      <c r="C88" s="344">
        <v>7</v>
      </c>
      <c r="D88" s="344">
        <v>1</v>
      </c>
      <c r="E88" s="344">
        <f>7+3</f>
        <v>10</v>
      </c>
      <c r="F88" s="344" t="s">
        <v>545</v>
      </c>
    </row>
    <row r="89" spans="2:6" ht="63.75">
      <c r="B89" s="345" t="s">
        <v>624</v>
      </c>
      <c r="C89" s="344">
        <v>16</v>
      </c>
      <c r="D89" s="344">
        <v>2</v>
      </c>
      <c r="E89" s="344">
        <f>2+2</f>
        <v>4</v>
      </c>
      <c r="F89" s="344" t="s">
        <v>545</v>
      </c>
    </row>
    <row r="90" spans="2:6">
      <c r="B90" s="345" t="s">
        <v>422</v>
      </c>
      <c r="C90" s="344">
        <v>64</v>
      </c>
      <c r="D90" s="344">
        <v>7</v>
      </c>
      <c r="E90" s="344">
        <f>31+14</f>
        <v>45</v>
      </c>
      <c r="F90" s="344">
        <v>4</v>
      </c>
    </row>
    <row r="91" spans="2:6" ht="51">
      <c r="B91" s="345" t="s">
        <v>626</v>
      </c>
      <c r="C91" s="344">
        <v>38</v>
      </c>
      <c r="D91" s="344">
        <v>7</v>
      </c>
      <c r="E91" s="344">
        <f>29+11</f>
        <v>40</v>
      </c>
      <c r="F91" s="344">
        <v>2</v>
      </c>
    </row>
    <row r="92" spans="2:6" ht="25.5">
      <c r="B92" s="345" t="s">
        <v>178</v>
      </c>
      <c r="C92" s="344">
        <v>7</v>
      </c>
      <c r="D92" s="344">
        <v>1</v>
      </c>
      <c r="E92" s="344">
        <f>4+1</f>
        <v>5</v>
      </c>
      <c r="F92" s="344">
        <v>3</v>
      </c>
    </row>
    <row r="93" spans="2:6" ht="38.25">
      <c r="B93" s="345" t="s">
        <v>629</v>
      </c>
      <c r="C93" s="344">
        <v>14</v>
      </c>
      <c r="D93" s="344">
        <v>2</v>
      </c>
      <c r="E93" s="344">
        <f>14+3</f>
        <v>17</v>
      </c>
      <c r="F93" s="344" t="s">
        <v>545</v>
      </c>
    </row>
    <row r="94" spans="2:6" ht="25.5">
      <c r="B94" s="345" t="s">
        <v>631</v>
      </c>
      <c r="C94" s="344">
        <v>1</v>
      </c>
      <c r="D94" s="344" t="s">
        <v>545</v>
      </c>
      <c r="E94" s="344" t="s">
        <v>545</v>
      </c>
      <c r="F94" s="344" t="s">
        <v>545</v>
      </c>
    </row>
    <row r="95" spans="2:6" ht="38.25">
      <c r="B95" s="345" t="s">
        <v>633</v>
      </c>
      <c r="C95" s="344">
        <v>3</v>
      </c>
      <c r="D95" s="344" t="s">
        <v>545</v>
      </c>
      <c r="E95" s="344">
        <f>2+1</f>
        <v>3</v>
      </c>
      <c r="F95" s="344" t="s">
        <v>545</v>
      </c>
    </row>
    <row r="96" spans="2:6" ht="25.5">
      <c r="B96" s="345" t="s">
        <v>635</v>
      </c>
      <c r="C96" s="344" t="s">
        <v>545</v>
      </c>
      <c r="D96" s="344" t="s">
        <v>545</v>
      </c>
      <c r="E96" s="344" t="s">
        <v>545</v>
      </c>
      <c r="F96" s="344" t="s">
        <v>545</v>
      </c>
    </row>
    <row r="97" spans="2:6" ht="38.25">
      <c r="B97" s="345" t="s">
        <v>637</v>
      </c>
      <c r="C97" s="344">
        <v>4</v>
      </c>
      <c r="D97" s="344" t="s">
        <v>545</v>
      </c>
      <c r="E97" s="344">
        <f>6+2</f>
        <v>8</v>
      </c>
      <c r="F97" s="344" t="s">
        <v>545</v>
      </c>
    </row>
    <row r="98" spans="2:6" ht="38.25">
      <c r="B98" s="345" t="s">
        <v>639</v>
      </c>
      <c r="C98" s="344">
        <v>12</v>
      </c>
      <c r="D98" s="344">
        <v>5</v>
      </c>
      <c r="E98" s="344">
        <f>9+6</f>
        <v>15</v>
      </c>
      <c r="F98" s="344">
        <v>5</v>
      </c>
    </row>
    <row r="99" spans="2:6" ht="63.75">
      <c r="B99" s="345" t="s">
        <v>641</v>
      </c>
      <c r="C99" s="344" t="s">
        <v>545</v>
      </c>
      <c r="D99" s="344" t="s">
        <v>545</v>
      </c>
      <c r="E99" s="344" t="s">
        <v>545</v>
      </c>
      <c r="F99" s="344" t="s">
        <v>545</v>
      </c>
    </row>
    <row r="100" spans="2:6">
      <c r="B100" s="345" t="s">
        <v>643</v>
      </c>
      <c r="C100" s="344" t="s">
        <v>545</v>
      </c>
      <c r="D100" s="344" t="s">
        <v>545</v>
      </c>
      <c r="E100" s="344" t="s">
        <v>545</v>
      </c>
      <c r="F100" s="344">
        <v>1</v>
      </c>
    </row>
    <row r="101" spans="2:6" ht="38.25">
      <c r="B101" s="345" t="s">
        <v>645</v>
      </c>
      <c r="C101" s="344">
        <v>2</v>
      </c>
      <c r="D101" s="344">
        <v>1</v>
      </c>
      <c r="E101" s="344">
        <f>2+1</f>
        <v>3</v>
      </c>
      <c r="F101" s="344">
        <v>1</v>
      </c>
    </row>
    <row r="102" spans="2:6" ht="38.25">
      <c r="B102" s="345" t="s">
        <v>647</v>
      </c>
      <c r="C102" s="344">
        <v>2</v>
      </c>
      <c r="D102" s="344" t="s">
        <v>545</v>
      </c>
      <c r="E102" s="344">
        <v>1</v>
      </c>
      <c r="F102" s="344" t="s">
        <v>545</v>
      </c>
    </row>
    <row r="103" spans="2:6" ht="25.5">
      <c r="B103" s="345" t="s">
        <v>648</v>
      </c>
      <c r="C103" s="344">
        <v>2</v>
      </c>
      <c r="D103" s="344" t="s">
        <v>545</v>
      </c>
      <c r="E103" s="344" t="s">
        <v>545</v>
      </c>
      <c r="F103" s="344">
        <v>1</v>
      </c>
    </row>
    <row r="104" spans="2:6" ht="127.5">
      <c r="B104" s="345" t="s">
        <v>649</v>
      </c>
      <c r="C104" s="344" t="s">
        <v>545</v>
      </c>
      <c r="D104" s="344" t="s">
        <v>545</v>
      </c>
      <c r="E104" s="344" t="s">
        <v>545</v>
      </c>
      <c r="F104" s="344" t="s">
        <v>545</v>
      </c>
    </row>
    <row r="105" spans="2:6" ht="51">
      <c r="B105" s="345" t="s">
        <v>651</v>
      </c>
      <c r="C105" s="344" t="s">
        <v>545</v>
      </c>
      <c r="D105" s="344" t="s">
        <v>545</v>
      </c>
      <c r="E105" s="344" t="s">
        <v>545</v>
      </c>
      <c r="F105" s="344" t="s">
        <v>545</v>
      </c>
    </row>
    <row r="106" spans="2:6">
      <c r="B106" s="346" t="s">
        <v>306</v>
      </c>
      <c r="C106" s="241">
        <v>396</v>
      </c>
      <c r="D106" s="241">
        <v>48</v>
      </c>
      <c r="E106" s="241">
        <v>302</v>
      </c>
      <c r="F106" s="241">
        <v>31</v>
      </c>
    </row>
    <row r="107" spans="2:6">
      <c r="B107" s="637" t="s">
        <v>521</v>
      </c>
      <c r="C107" s="637"/>
      <c r="D107" s="637"/>
      <c r="E107" s="637"/>
      <c r="F107" s="637"/>
    </row>
    <row r="108" spans="2:6">
      <c r="B108" s="347" t="s">
        <v>362</v>
      </c>
      <c r="C108" s="348" t="s">
        <v>87</v>
      </c>
      <c r="D108" s="347"/>
      <c r="E108" s="347"/>
      <c r="F108" s="347"/>
    </row>
    <row r="109" spans="2:6">
      <c r="B109" s="162" t="s">
        <v>656</v>
      </c>
      <c r="C109" s="162"/>
      <c r="D109" s="162"/>
      <c r="E109" s="162"/>
      <c r="F109" s="162"/>
    </row>
  </sheetData>
  <mergeCells count="18">
    <mergeCell ref="E83:F83"/>
    <mergeCell ref="B107:F107"/>
    <mergeCell ref="B77:L77"/>
    <mergeCell ref="B67:F67"/>
    <mergeCell ref="B53:F53"/>
    <mergeCell ref="C83:D83"/>
    <mergeCell ref="B51:I51"/>
    <mergeCell ref="B39:F39"/>
    <mergeCell ref="B40:F40"/>
    <mergeCell ref="B42:O42"/>
    <mergeCell ref="B45:I45"/>
    <mergeCell ref="B2:I2"/>
    <mergeCell ref="B3:I3"/>
    <mergeCell ref="B22:O22"/>
    <mergeCell ref="B19:K19"/>
    <mergeCell ref="Q5:Y12"/>
    <mergeCell ref="B6:O16"/>
    <mergeCell ref="B5:O5"/>
  </mergeCells>
  <hyperlinks>
    <hyperlink ref="C41" r:id="rId1" xr:uid="{AC52BA99-4A84-4F7D-A329-4F8875C55454}"/>
    <hyperlink ref="C108" r:id="rId2" xr:uid="{8B964222-95A8-430D-BB3A-63A4F0500B68}"/>
  </hyperlinks>
  <pageMargins left="0.7" right="0.7" top="0.75" bottom="0.75" header="0.3" footer="0.3"/>
  <pageSetup orientation="landscape" horizontalDpi="0"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C2:K77"/>
  <sheetViews>
    <sheetView zoomScale="90" zoomScaleNormal="90" workbookViewId="0">
      <selection activeCell="F17" sqref="F17"/>
    </sheetView>
  </sheetViews>
  <sheetFormatPr defaultRowHeight="15"/>
  <cols>
    <col min="4" max="4" width="44" customWidth="1"/>
    <col min="6" max="6" width="80.85546875" customWidth="1"/>
  </cols>
  <sheetData>
    <row r="2" spans="3:6" ht="49.5" customHeight="1">
      <c r="C2" s="566" t="s">
        <v>125</v>
      </c>
      <c r="D2" s="566"/>
      <c r="E2" s="566"/>
      <c r="F2" s="566"/>
    </row>
    <row r="3" spans="3:6" ht="60.75" customHeight="1">
      <c r="C3" s="645" t="s">
        <v>127</v>
      </c>
      <c r="D3" s="645"/>
      <c r="E3" s="645"/>
      <c r="F3" s="645"/>
    </row>
    <row r="4" spans="3:6" ht="15" customHeight="1">
      <c r="C4" s="133"/>
      <c r="D4" s="133"/>
      <c r="E4" s="133"/>
      <c r="F4" s="133"/>
    </row>
    <row r="5" spans="3:6" ht="15" customHeight="1">
      <c r="C5" s="647" t="s">
        <v>661</v>
      </c>
      <c r="D5" s="647"/>
      <c r="E5" s="133"/>
      <c r="F5" s="133"/>
    </row>
    <row r="6" spans="3:6" ht="15" customHeight="1">
      <c r="C6" s="133"/>
      <c r="D6" s="133"/>
      <c r="E6" s="133"/>
      <c r="F6" s="133"/>
    </row>
    <row r="7" spans="3:6" ht="15" customHeight="1">
      <c r="C7" s="19"/>
      <c r="D7" s="19" t="s">
        <v>662</v>
      </c>
      <c r="E7" s="19" t="s">
        <v>663</v>
      </c>
      <c r="F7" s="19" t="s">
        <v>664</v>
      </c>
    </row>
    <row r="8" spans="3:6" ht="15" customHeight="1">
      <c r="C8" s="1">
        <v>1</v>
      </c>
      <c r="D8" s="10" t="s">
        <v>665</v>
      </c>
      <c r="E8" s="1"/>
      <c r="F8" s="132" t="s">
        <v>666</v>
      </c>
    </row>
    <row r="9" spans="3:6" ht="15" customHeight="1">
      <c r="C9" s="1">
        <v>2</v>
      </c>
      <c r="D9" s="10" t="s">
        <v>667</v>
      </c>
      <c r="E9" s="1"/>
      <c r="F9" s="10" t="s">
        <v>668</v>
      </c>
    </row>
    <row r="10" spans="3:6" ht="15" customHeight="1">
      <c r="C10" s="1">
        <v>3</v>
      </c>
      <c r="D10" s="10" t="s">
        <v>669</v>
      </c>
      <c r="E10" s="1"/>
      <c r="F10" s="10" t="s">
        <v>670</v>
      </c>
    </row>
    <row r="11" spans="3:6" ht="15" customHeight="1">
      <c r="C11" s="1">
        <v>4</v>
      </c>
      <c r="D11" s="10" t="s">
        <v>671</v>
      </c>
      <c r="E11" s="30">
        <v>42736</v>
      </c>
      <c r="F11" s="1" t="s">
        <v>672</v>
      </c>
    </row>
    <row r="12" spans="3:6" ht="15" customHeight="1">
      <c r="C12" s="1">
        <v>5</v>
      </c>
      <c r="D12" s="1" t="s">
        <v>673</v>
      </c>
      <c r="E12" s="30">
        <v>43101</v>
      </c>
      <c r="F12" s="10" t="s">
        <v>674</v>
      </c>
    </row>
    <row r="13" spans="3:6" ht="15" customHeight="1">
      <c r="C13" s="1">
        <v>6</v>
      </c>
      <c r="D13" s="10" t="s">
        <v>675</v>
      </c>
      <c r="E13" s="1"/>
      <c r="F13" s="10" t="s">
        <v>676</v>
      </c>
    </row>
    <row r="14" spans="3:6" ht="15" customHeight="1">
      <c r="C14" s="1">
        <v>7</v>
      </c>
      <c r="D14" s="10" t="s">
        <v>677</v>
      </c>
      <c r="E14" s="1"/>
    </row>
    <row r="15" spans="3:6" ht="15" customHeight="1">
      <c r="C15" s="646" t="s">
        <v>678</v>
      </c>
      <c r="D15" s="646"/>
      <c r="E15" s="133"/>
      <c r="F15" s="133"/>
    </row>
    <row r="16" spans="3:6" ht="15" customHeight="1">
      <c r="C16" s="133"/>
      <c r="D16" s="133"/>
      <c r="E16" s="133"/>
      <c r="F16" s="133"/>
    </row>
    <row r="17" spans="3:6" ht="60.75" customHeight="1">
      <c r="C17" s="133"/>
      <c r="D17" s="133"/>
      <c r="E17" s="133"/>
      <c r="F17" s="133"/>
    </row>
    <row r="18" spans="3:6" ht="60.75" customHeight="1">
      <c r="C18" s="133"/>
      <c r="D18" s="133"/>
      <c r="E18" s="133"/>
      <c r="F18" s="133"/>
    </row>
    <row r="19" spans="3:6" ht="60.75" customHeight="1">
      <c r="C19" s="133"/>
      <c r="D19" s="133"/>
      <c r="E19" s="133"/>
      <c r="F19" s="133"/>
    </row>
    <row r="34" spans="3:3">
      <c r="C34" t="s">
        <v>679</v>
      </c>
    </row>
    <row r="35" spans="3:3">
      <c r="C35" s="32" t="s">
        <v>680</v>
      </c>
    </row>
    <row r="65" spans="3:11">
      <c r="D65" s="643" t="s">
        <v>681</v>
      </c>
      <c r="E65" s="643"/>
      <c r="F65" s="643"/>
      <c r="G65" s="643"/>
      <c r="H65" s="643"/>
    </row>
    <row r="66" spans="3:11" ht="234" customHeight="1">
      <c r="D66" s="644" t="s">
        <v>682</v>
      </c>
      <c r="E66" s="644"/>
      <c r="F66" s="644"/>
      <c r="G66" s="29"/>
      <c r="H66" s="29"/>
    </row>
    <row r="69" spans="3:11">
      <c r="C69" s="642"/>
      <c r="D69" s="642"/>
      <c r="E69" s="642"/>
      <c r="F69" s="642"/>
      <c r="G69" s="642"/>
      <c r="H69" s="642"/>
      <c r="I69" s="642"/>
      <c r="J69" s="642"/>
      <c r="K69" s="642"/>
    </row>
    <row r="70" spans="3:11">
      <c r="C70" s="642"/>
      <c r="D70" s="642"/>
      <c r="E70" s="642"/>
      <c r="F70" s="642"/>
      <c r="G70" s="642"/>
      <c r="H70" s="642"/>
      <c r="I70" s="642"/>
      <c r="J70" s="642"/>
      <c r="K70" s="642"/>
    </row>
    <row r="71" spans="3:11">
      <c r="C71" s="642"/>
      <c r="D71" s="642"/>
      <c r="E71" s="642"/>
      <c r="F71" s="642"/>
      <c r="G71" s="642"/>
      <c r="H71" s="642"/>
      <c r="I71" s="642"/>
      <c r="J71" s="642"/>
      <c r="K71" s="642"/>
    </row>
    <row r="72" spans="3:11">
      <c r="C72" s="642"/>
      <c r="D72" s="642"/>
      <c r="E72" s="642"/>
      <c r="F72" s="642"/>
      <c r="G72" s="642"/>
      <c r="H72" s="642"/>
      <c r="I72" s="642"/>
      <c r="J72" s="642"/>
      <c r="K72" s="642"/>
    </row>
    <row r="73" spans="3:11">
      <c r="C73" s="642"/>
      <c r="D73" s="642"/>
      <c r="E73" s="642"/>
      <c r="F73" s="642"/>
      <c r="G73" s="642"/>
      <c r="H73" s="642"/>
      <c r="I73" s="642"/>
      <c r="J73" s="642"/>
      <c r="K73" s="642"/>
    </row>
    <row r="74" spans="3:11">
      <c r="C74" s="642"/>
      <c r="D74" s="642"/>
      <c r="E74" s="642"/>
      <c r="F74" s="642"/>
      <c r="G74" s="642"/>
      <c r="H74" s="642"/>
      <c r="I74" s="642"/>
      <c r="J74" s="642"/>
      <c r="K74" s="642"/>
    </row>
    <row r="75" spans="3:11">
      <c r="C75" s="642"/>
      <c r="D75" s="642"/>
      <c r="E75" s="642"/>
      <c r="F75" s="642"/>
      <c r="G75" s="642"/>
      <c r="H75" s="642"/>
      <c r="I75" s="642"/>
      <c r="J75" s="642"/>
      <c r="K75" s="642"/>
    </row>
    <row r="77" spans="3:11" ht="21" customHeight="1"/>
  </sheetData>
  <mergeCells count="7">
    <mergeCell ref="C69:K75"/>
    <mergeCell ref="D65:H65"/>
    <mergeCell ref="D66:F66"/>
    <mergeCell ref="C2:F2"/>
    <mergeCell ref="C3:F3"/>
    <mergeCell ref="C15:D15"/>
    <mergeCell ref="C5:D5"/>
  </mergeCells>
  <hyperlinks>
    <hyperlink ref="C35" r:id="rId1" xr:uid="{00000000-0004-0000-0B00-00000000000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2:L40"/>
  <sheetViews>
    <sheetView zoomScale="60" zoomScaleNormal="60" workbookViewId="0">
      <selection activeCell="K3" sqref="K3"/>
    </sheetView>
  </sheetViews>
  <sheetFormatPr defaultRowHeight="15"/>
  <cols>
    <col min="1" max="1" width="9.140625" style="70"/>
    <col min="2" max="2" width="65.42578125" style="70" customWidth="1"/>
    <col min="3" max="3" width="15.85546875" style="70" bestFit="1" customWidth="1"/>
    <col min="4" max="5" width="17" style="70" bestFit="1" customWidth="1"/>
    <col min="6" max="6" width="16.5703125" style="70" bestFit="1" customWidth="1"/>
    <col min="7" max="7" width="15.85546875" style="70" bestFit="1" customWidth="1"/>
    <col min="8" max="8" width="17" style="70" bestFit="1" customWidth="1"/>
    <col min="9" max="9" width="15" style="70" bestFit="1" customWidth="1"/>
    <col min="10" max="12" width="15.42578125" style="70" bestFit="1" customWidth="1"/>
    <col min="13" max="16384" width="9.140625" style="70"/>
  </cols>
  <sheetData>
    <row r="2" spans="2:12" ht="30" customHeight="1">
      <c r="B2" s="481" t="s">
        <v>131</v>
      </c>
      <c r="C2" s="481"/>
      <c r="D2" s="481"/>
      <c r="E2" s="481"/>
      <c r="F2" s="481"/>
    </row>
    <row r="3" spans="2:12" ht="75" customHeight="1">
      <c r="B3" s="482" t="s">
        <v>133</v>
      </c>
      <c r="C3" s="482"/>
      <c r="D3" s="482"/>
      <c r="E3" s="482"/>
      <c r="F3" s="482"/>
    </row>
    <row r="6" spans="2:12" ht="15.75" customHeight="1">
      <c r="B6" s="648" t="s">
        <v>683</v>
      </c>
      <c r="C6" s="649"/>
      <c r="D6" s="649"/>
      <c r="E6" s="649"/>
      <c r="F6" s="649"/>
      <c r="G6" s="649"/>
      <c r="H6" s="649"/>
      <c r="I6" s="649"/>
      <c r="J6" s="649"/>
      <c r="K6" s="649"/>
      <c r="L6" s="650"/>
    </row>
    <row r="7" spans="2:12">
      <c r="B7" s="16" t="s">
        <v>684</v>
      </c>
      <c r="C7" s="349">
        <v>2015</v>
      </c>
      <c r="D7" s="349">
        <v>2016</v>
      </c>
      <c r="E7" s="349">
        <v>2017</v>
      </c>
      <c r="F7" s="349" t="s">
        <v>685</v>
      </c>
      <c r="G7" s="349" t="s">
        <v>686</v>
      </c>
      <c r="H7" s="349" t="s">
        <v>519</v>
      </c>
      <c r="I7" s="349">
        <v>2021</v>
      </c>
      <c r="J7" s="349">
        <v>2022</v>
      </c>
      <c r="K7" s="349">
        <v>2023</v>
      </c>
      <c r="L7" s="349">
        <v>2024</v>
      </c>
    </row>
    <row r="8" spans="2:12">
      <c r="B8" s="350" t="s">
        <v>369</v>
      </c>
      <c r="C8" s="351">
        <v>1822952</v>
      </c>
      <c r="D8" s="351">
        <v>2224604</v>
      </c>
      <c r="E8" s="351">
        <v>2936143.4892712971</v>
      </c>
      <c r="F8" s="351">
        <v>2991850</v>
      </c>
      <c r="G8" s="351">
        <v>2727737</v>
      </c>
      <c r="H8" s="351">
        <v>3150227</v>
      </c>
      <c r="I8" s="352">
        <v>5925255</v>
      </c>
      <c r="J8" s="352">
        <v>6835115</v>
      </c>
      <c r="K8" s="352">
        <v>9497549</v>
      </c>
      <c r="L8" s="352">
        <v>10254875.01586487</v>
      </c>
    </row>
    <row r="9" spans="2:12">
      <c r="B9" s="350" t="s">
        <v>370</v>
      </c>
      <c r="C9" s="351">
        <v>739236.19436099601</v>
      </c>
      <c r="D9" s="351">
        <v>1147829.1607293156</v>
      </c>
      <c r="E9" s="351">
        <v>1731422.5877437217</v>
      </c>
      <c r="F9" s="351">
        <v>1718357.7528928008</v>
      </c>
      <c r="G9" s="351">
        <v>2165033</v>
      </c>
      <c r="H9" s="351">
        <v>2179086</v>
      </c>
      <c r="I9" s="352">
        <v>3462657</v>
      </c>
      <c r="J9" s="352">
        <v>4276466</v>
      </c>
      <c r="K9" s="352">
        <v>5558818</v>
      </c>
      <c r="L9" s="352">
        <v>6599612.447111398</v>
      </c>
    </row>
    <row r="10" spans="2:12">
      <c r="B10" s="350" t="s">
        <v>371</v>
      </c>
      <c r="C10" s="351">
        <v>2013249.7030296293</v>
      </c>
      <c r="D10" s="351">
        <v>2768673.7746631489</v>
      </c>
      <c r="E10" s="351">
        <v>6349541.3486648714</v>
      </c>
      <c r="F10" s="351">
        <v>6358955.0724606626</v>
      </c>
      <c r="G10" s="351">
        <v>5429802</v>
      </c>
      <c r="H10" s="351">
        <v>8947572</v>
      </c>
      <c r="I10" s="352">
        <v>13295047</v>
      </c>
      <c r="J10" s="352">
        <v>25926085</v>
      </c>
      <c r="K10" s="352">
        <v>32542317</v>
      </c>
      <c r="L10" s="352">
        <v>38026306.04247161</v>
      </c>
    </row>
    <row r="11" spans="2:12">
      <c r="B11" s="350" t="s">
        <v>372</v>
      </c>
      <c r="C11" s="351">
        <v>318288.04130281485</v>
      </c>
      <c r="D11" s="351">
        <v>396338.45918631234</v>
      </c>
      <c r="E11" s="351">
        <v>553399.08395272645</v>
      </c>
      <c r="F11" s="351">
        <v>765821.22046713356</v>
      </c>
      <c r="G11" s="351">
        <v>539728.36811007396</v>
      </c>
      <c r="H11" s="351">
        <v>561827</v>
      </c>
      <c r="I11" s="352">
        <v>959293</v>
      </c>
      <c r="J11" s="352">
        <v>1128371</v>
      </c>
      <c r="K11" s="352">
        <v>1392690</v>
      </c>
      <c r="L11" s="352">
        <v>1822271.3263622643</v>
      </c>
    </row>
    <row r="12" spans="2:12" ht="30">
      <c r="B12" s="350" t="s">
        <v>373</v>
      </c>
      <c r="C12" s="351">
        <v>18554.448656605105</v>
      </c>
      <c r="D12" s="351">
        <v>20546.18984521924</v>
      </c>
      <c r="E12" s="351">
        <v>39022.055478039081</v>
      </c>
      <c r="F12" s="351">
        <v>50641.694108516385</v>
      </c>
      <c r="G12" s="351">
        <v>70041.78663030405</v>
      </c>
      <c r="H12" s="351">
        <v>72832</v>
      </c>
      <c r="I12" s="352">
        <v>100834</v>
      </c>
      <c r="J12" s="352">
        <v>128810</v>
      </c>
      <c r="K12" s="352">
        <v>187751</v>
      </c>
      <c r="L12" s="352">
        <v>229926.47638899568</v>
      </c>
    </row>
    <row r="13" spans="2:12" ht="33.75" customHeight="1">
      <c r="B13" s="350" t="s">
        <v>374</v>
      </c>
      <c r="C13" s="351">
        <v>1685149.5736897278</v>
      </c>
      <c r="D13" s="351">
        <v>1195070.2999858258</v>
      </c>
      <c r="E13" s="351">
        <v>1619665.810195843</v>
      </c>
      <c r="F13" s="351">
        <v>2069341.5575021375</v>
      </c>
      <c r="G13" s="351">
        <v>2296730.3170979023</v>
      </c>
      <c r="H13" s="351">
        <v>2394781</v>
      </c>
      <c r="I13" s="352">
        <v>5269825</v>
      </c>
      <c r="J13" s="352">
        <v>8104935</v>
      </c>
      <c r="K13" s="352">
        <v>10976787</v>
      </c>
      <c r="L13" s="352">
        <v>12263355.34035404</v>
      </c>
    </row>
    <row r="14" spans="2:12">
      <c r="B14" s="350" t="s">
        <v>375</v>
      </c>
      <c r="C14" s="351">
        <v>2968676.6416137153</v>
      </c>
      <c r="D14" s="351">
        <v>4096569.7135058315</v>
      </c>
      <c r="E14" s="351">
        <v>4944068.5132995015</v>
      </c>
      <c r="F14" s="351">
        <v>5659395.4658068586</v>
      </c>
      <c r="G14" s="351">
        <v>5895346</v>
      </c>
      <c r="H14" s="351">
        <v>7473202</v>
      </c>
      <c r="I14" s="352">
        <v>13078104</v>
      </c>
      <c r="J14" s="352">
        <v>19034670</v>
      </c>
      <c r="K14" s="352">
        <v>26033378</v>
      </c>
      <c r="L14" s="352">
        <v>26575233.088670537</v>
      </c>
    </row>
    <row r="15" spans="2:12" ht="36" customHeight="1">
      <c r="B15" s="350" t="s">
        <v>376</v>
      </c>
      <c r="C15" s="189">
        <v>695718.75783320446</v>
      </c>
      <c r="D15" s="189">
        <v>551375</v>
      </c>
      <c r="E15" s="189">
        <v>571351</v>
      </c>
      <c r="F15" s="189">
        <v>848175</v>
      </c>
      <c r="G15" s="189">
        <v>743569</v>
      </c>
      <c r="H15" s="189">
        <v>699218</v>
      </c>
      <c r="I15" s="352">
        <v>1173986</v>
      </c>
      <c r="J15" s="352">
        <v>2022312</v>
      </c>
      <c r="K15" s="352">
        <v>3437931</v>
      </c>
      <c r="L15" s="352">
        <v>4428627.7913583284</v>
      </c>
    </row>
    <row r="16" spans="2:12">
      <c r="B16" s="350" t="s">
        <v>687</v>
      </c>
      <c r="C16" s="353">
        <v>699261.49692860711</v>
      </c>
      <c r="D16" s="353">
        <v>812286.73034853744</v>
      </c>
      <c r="E16" s="353">
        <v>878971</v>
      </c>
      <c r="F16" s="353">
        <v>1061309</v>
      </c>
      <c r="G16" s="353">
        <v>1702452</v>
      </c>
      <c r="H16" s="353">
        <v>618153</v>
      </c>
      <c r="I16" s="354">
        <v>842063</v>
      </c>
      <c r="J16" s="354">
        <v>1305197</v>
      </c>
      <c r="K16" s="354">
        <v>2088315.9999999998</v>
      </c>
      <c r="L16" s="354">
        <v>2841834.976631606</v>
      </c>
    </row>
    <row r="17" spans="2:12">
      <c r="B17" s="350" t="s">
        <v>378</v>
      </c>
      <c r="C17" s="351">
        <v>1152490.362704894</v>
      </c>
      <c r="D17" s="351">
        <v>1762579.4810744012</v>
      </c>
      <c r="E17" s="351">
        <v>1321828.5059791135</v>
      </c>
      <c r="F17" s="351">
        <v>1225240.9260632377</v>
      </c>
      <c r="G17" s="351">
        <v>1204865.214509625</v>
      </c>
      <c r="H17" s="351">
        <v>1487628</v>
      </c>
      <c r="I17" s="352">
        <v>1963843</v>
      </c>
      <c r="J17" s="352">
        <v>2353120</v>
      </c>
      <c r="K17" s="352">
        <v>3320300</v>
      </c>
      <c r="L17" s="352">
        <v>5295255.244368203</v>
      </c>
    </row>
    <row r="18" spans="2:12">
      <c r="B18" s="350" t="s">
        <v>379</v>
      </c>
      <c r="C18" s="351">
        <v>761992.38685941114</v>
      </c>
      <c r="D18" s="351">
        <v>998634.61189212988</v>
      </c>
      <c r="E18" s="351">
        <v>1261448.8250706953</v>
      </c>
      <c r="F18" s="351">
        <v>1794979</v>
      </c>
      <c r="G18" s="351">
        <v>1980000</v>
      </c>
      <c r="H18" s="351">
        <v>2568931</v>
      </c>
      <c r="I18" s="352">
        <v>4859018</v>
      </c>
      <c r="J18" s="352">
        <v>8225507</v>
      </c>
      <c r="K18" s="352">
        <v>10906300</v>
      </c>
      <c r="L18" s="352">
        <v>13187761.756345425</v>
      </c>
    </row>
    <row r="19" spans="2:12">
      <c r="B19" s="351" t="s">
        <v>688</v>
      </c>
      <c r="C19" s="351">
        <v>752385.2612239857</v>
      </c>
      <c r="D19" s="351">
        <v>871476.00386538077</v>
      </c>
      <c r="E19" s="351">
        <v>913633.99142467626</v>
      </c>
      <c r="F19" s="351">
        <v>996332.08596753725</v>
      </c>
      <c r="G19" s="351">
        <v>1078974.7069789155</v>
      </c>
      <c r="H19" s="351">
        <v>1301094</v>
      </c>
      <c r="I19" s="352">
        <v>1671958</v>
      </c>
      <c r="J19" s="352">
        <v>2193025</v>
      </c>
      <c r="K19" s="352">
        <v>2698570</v>
      </c>
      <c r="L19" s="352">
        <v>3892923.2056581047</v>
      </c>
    </row>
    <row r="20" spans="2:12">
      <c r="B20" s="350" t="s">
        <v>689</v>
      </c>
      <c r="C20" s="351">
        <v>218694.81009999997</v>
      </c>
      <c r="D20" s="351">
        <v>266521.04154816055</v>
      </c>
      <c r="E20" s="351">
        <v>352502.38042523881</v>
      </c>
      <c r="F20" s="351">
        <v>405824.64368244173</v>
      </c>
      <c r="G20" s="351">
        <v>436187.47834655846</v>
      </c>
      <c r="H20" s="351">
        <v>537789</v>
      </c>
      <c r="I20" s="352">
        <v>908209</v>
      </c>
      <c r="J20" s="352">
        <v>1401913</v>
      </c>
      <c r="K20" s="352">
        <v>2152847</v>
      </c>
      <c r="L20" s="352">
        <v>2611507.6692376751</v>
      </c>
    </row>
    <row r="21" spans="2:12">
      <c r="B21" s="350" t="s">
        <v>382</v>
      </c>
      <c r="C21" s="351">
        <v>0</v>
      </c>
      <c r="D21" s="351">
        <v>0</v>
      </c>
      <c r="E21" s="351">
        <v>0</v>
      </c>
      <c r="F21" s="351">
        <v>0</v>
      </c>
      <c r="G21" s="351">
        <v>0</v>
      </c>
      <c r="H21" s="351">
        <v>0</v>
      </c>
      <c r="I21" s="351">
        <v>0</v>
      </c>
      <c r="J21" s="351">
        <v>0</v>
      </c>
      <c r="K21" s="351">
        <v>0</v>
      </c>
      <c r="L21" s="351">
        <v>0</v>
      </c>
    </row>
    <row r="22" spans="2:12">
      <c r="B22" s="350" t="s">
        <v>690</v>
      </c>
      <c r="C22" s="351">
        <v>1071236.26</v>
      </c>
      <c r="D22" s="351">
        <v>1044224.5748377658</v>
      </c>
      <c r="E22" s="351">
        <v>1174954.2527794959</v>
      </c>
      <c r="F22" s="351">
        <v>1381728.9012258318</v>
      </c>
      <c r="G22" s="351">
        <v>2204548.7694880515</v>
      </c>
      <c r="H22" s="351">
        <v>2262112</v>
      </c>
      <c r="I22" s="352">
        <v>2741824</v>
      </c>
      <c r="J22" s="352">
        <v>3878175</v>
      </c>
      <c r="K22" s="352">
        <v>4792441</v>
      </c>
      <c r="L22" s="352">
        <v>6422640.8773598699</v>
      </c>
    </row>
    <row r="23" spans="2:12">
      <c r="B23" s="350" t="s">
        <v>691</v>
      </c>
      <c r="C23" s="351">
        <v>546660.93999999994</v>
      </c>
      <c r="D23" s="351">
        <v>593769</v>
      </c>
      <c r="E23" s="351">
        <v>708268</v>
      </c>
      <c r="F23" s="351">
        <v>740091</v>
      </c>
      <c r="G23" s="351">
        <v>1039105</v>
      </c>
      <c r="H23" s="351">
        <v>1273084</v>
      </c>
      <c r="I23" s="352">
        <v>1319632</v>
      </c>
      <c r="J23" s="352">
        <v>1515340</v>
      </c>
      <c r="K23" s="352">
        <v>2184079</v>
      </c>
      <c r="L23" s="352">
        <v>2509552.721859768</v>
      </c>
    </row>
    <row r="24" spans="2:12">
      <c r="B24" s="350" t="s">
        <v>692</v>
      </c>
      <c r="C24" s="351">
        <v>456180.81</v>
      </c>
      <c r="D24" s="351">
        <v>535138.64934011782</v>
      </c>
      <c r="E24" s="351">
        <v>507637.70667341235</v>
      </c>
      <c r="F24" s="351">
        <v>665851.36203697976</v>
      </c>
      <c r="G24" s="351">
        <v>849006.30381181929</v>
      </c>
      <c r="H24" s="351">
        <v>1154566</v>
      </c>
      <c r="I24" s="352">
        <v>1313576</v>
      </c>
      <c r="J24" s="352">
        <v>1688445</v>
      </c>
      <c r="K24" s="352">
        <v>2024458</v>
      </c>
      <c r="L24" s="352">
        <v>2796231.7007803633</v>
      </c>
    </row>
    <row r="25" spans="2:12">
      <c r="B25" s="350" t="s">
        <v>693</v>
      </c>
      <c r="C25" s="351">
        <v>0</v>
      </c>
      <c r="D25" s="351">
        <v>0</v>
      </c>
      <c r="E25" s="351">
        <v>0</v>
      </c>
      <c r="F25" s="351">
        <v>0</v>
      </c>
      <c r="G25" s="351">
        <v>0</v>
      </c>
      <c r="H25" s="351"/>
      <c r="I25" s="234"/>
      <c r="J25" s="234"/>
      <c r="K25" s="234"/>
      <c r="L25" s="234"/>
    </row>
    <row r="26" spans="2:12">
      <c r="B26" s="350" t="s">
        <v>386</v>
      </c>
      <c r="C26" s="351">
        <v>221617.24540534714</v>
      </c>
      <c r="D26" s="351">
        <v>262555</v>
      </c>
      <c r="E26" s="351">
        <v>324121</v>
      </c>
      <c r="F26" s="351">
        <v>379683</v>
      </c>
      <c r="G26" s="351">
        <v>438288</v>
      </c>
      <c r="H26" s="351">
        <v>714868</v>
      </c>
      <c r="I26" s="352">
        <v>973663</v>
      </c>
      <c r="J26" s="352">
        <v>1414400</v>
      </c>
      <c r="K26" s="352">
        <v>1728674</v>
      </c>
      <c r="L26" s="352">
        <v>2133914.9988884884</v>
      </c>
    </row>
    <row r="27" spans="2:12">
      <c r="B27" s="13" t="s">
        <v>387</v>
      </c>
      <c r="C27" s="351">
        <v>0</v>
      </c>
      <c r="D27" s="351">
        <v>0</v>
      </c>
      <c r="E27" s="351">
        <v>0</v>
      </c>
      <c r="F27" s="351">
        <v>0</v>
      </c>
      <c r="G27" s="351">
        <v>0</v>
      </c>
      <c r="H27" s="351">
        <v>0</v>
      </c>
      <c r="I27" s="351">
        <v>0</v>
      </c>
      <c r="J27" s="351">
        <v>0</v>
      </c>
      <c r="K27" s="351">
        <v>0</v>
      </c>
      <c r="L27" s="351">
        <v>0</v>
      </c>
    </row>
    <row r="28" spans="2:12">
      <c r="B28" s="351" t="s">
        <v>388</v>
      </c>
      <c r="C28" s="351">
        <v>0</v>
      </c>
      <c r="D28" s="351">
        <v>0</v>
      </c>
      <c r="E28" s="351">
        <v>0</v>
      </c>
      <c r="F28" s="351">
        <v>0</v>
      </c>
      <c r="G28" s="351">
        <v>0</v>
      </c>
      <c r="H28" s="351">
        <v>0</v>
      </c>
      <c r="I28" s="351">
        <v>0</v>
      </c>
      <c r="J28" s="351">
        <v>0</v>
      </c>
      <c r="K28" s="351">
        <v>0</v>
      </c>
      <c r="L28" s="351">
        <v>0</v>
      </c>
    </row>
    <row r="29" spans="2:12">
      <c r="B29" s="351" t="s">
        <v>694</v>
      </c>
      <c r="C29" s="351">
        <v>0</v>
      </c>
      <c r="D29" s="351">
        <v>0</v>
      </c>
      <c r="E29" s="351">
        <v>0</v>
      </c>
      <c r="F29" s="351">
        <v>0</v>
      </c>
      <c r="G29" s="351">
        <v>0</v>
      </c>
      <c r="H29" s="351">
        <v>0</v>
      </c>
      <c r="I29" s="351">
        <v>0</v>
      </c>
      <c r="J29" s="351">
        <v>0</v>
      </c>
      <c r="K29" s="351">
        <v>0</v>
      </c>
      <c r="L29" s="351">
        <v>0</v>
      </c>
    </row>
    <row r="30" spans="2:12">
      <c r="B30" s="355" t="s">
        <v>695</v>
      </c>
      <c r="C30" s="353">
        <v>16142344.933708938</v>
      </c>
      <c r="D30" s="353">
        <v>19548191.690822147</v>
      </c>
      <c r="E30" s="353">
        <v>26187978</v>
      </c>
      <c r="F30" s="353">
        <v>29113577.682214141</v>
      </c>
      <c r="G30" s="353">
        <v>30801416</v>
      </c>
      <c r="H30" s="353">
        <v>37396969</v>
      </c>
      <c r="I30" s="354">
        <v>59858787</v>
      </c>
      <c r="J30" s="354">
        <v>91431887</v>
      </c>
      <c r="K30" s="354">
        <v>121523207</v>
      </c>
      <c r="L30" s="354">
        <v>141891830.67971155</v>
      </c>
    </row>
    <row r="31" spans="2:12">
      <c r="B31" s="13" t="s">
        <v>696</v>
      </c>
      <c r="C31" s="189">
        <v>1372302</v>
      </c>
      <c r="D31" s="189">
        <v>1114800</v>
      </c>
      <c r="E31" s="189">
        <v>705300</v>
      </c>
      <c r="F31" s="189">
        <v>708100</v>
      </c>
      <c r="G31" s="189">
        <v>681100</v>
      </c>
      <c r="H31" s="189">
        <v>1322500</v>
      </c>
      <c r="I31" s="352">
        <v>1367300</v>
      </c>
      <c r="J31" s="352">
        <v>2255500</v>
      </c>
      <c r="K31" s="352">
        <v>5542800</v>
      </c>
      <c r="L31" s="352">
        <v>13828580</v>
      </c>
    </row>
    <row r="32" spans="2:12">
      <c r="B32" s="16" t="s">
        <v>697</v>
      </c>
      <c r="C32" s="353">
        <v>17514646.933708936</v>
      </c>
      <c r="D32" s="353">
        <v>20662991.690822147</v>
      </c>
      <c r="E32" s="353">
        <v>26893278</v>
      </c>
      <c r="F32" s="353">
        <v>29821677.682214141</v>
      </c>
      <c r="G32" s="353">
        <v>31482516</v>
      </c>
      <c r="H32" s="353">
        <v>38719469</v>
      </c>
      <c r="I32" s="354">
        <v>61226087</v>
      </c>
      <c r="J32" s="354">
        <v>93687387</v>
      </c>
      <c r="K32" s="354">
        <v>127066007</v>
      </c>
      <c r="L32" s="354">
        <v>155720410.67971155</v>
      </c>
    </row>
    <row r="33" spans="2:12">
      <c r="B33" s="651" t="s">
        <v>698</v>
      </c>
      <c r="C33" s="651"/>
      <c r="D33" s="651"/>
      <c r="E33" s="651"/>
      <c r="F33" s="651"/>
      <c r="G33" s="651"/>
      <c r="H33" s="651"/>
    </row>
    <row r="34" spans="2:12">
      <c r="B34" s="217"/>
      <c r="C34" s="356"/>
      <c r="D34" s="356"/>
      <c r="E34" s="356"/>
      <c r="F34" s="356"/>
      <c r="G34" s="356"/>
      <c r="H34" s="356"/>
    </row>
    <row r="35" spans="2:12">
      <c r="B35" s="217"/>
      <c r="C35" s="356"/>
      <c r="D35" s="356"/>
      <c r="E35" s="356"/>
      <c r="F35" s="356"/>
      <c r="G35" s="356"/>
      <c r="H35" s="356"/>
    </row>
    <row r="36" spans="2:12">
      <c r="B36" s="357"/>
      <c r="C36" s="124">
        <v>2015</v>
      </c>
      <c r="D36" s="124">
        <v>2016</v>
      </c>
      <c r="E36" s="124">
        <v>2017</v>
      </c>
      <c r="F36" s="124">
        <v>2018</v>
      </c>
      <c r="G36" s="124">
        <v>2019</v>
      </c>
      <c r="H36" s="124">
        <v>2020</v>
      </c>
      <c r="I36" s="124">
        <v>2021</v>
      </c>
      <c r="J36" s="124">
        <v>2022</v>
      </c>
      <c r="K36" s="124">
        <v>2023</v>
      </c>
      <c r="L36" s="124">
        <v>2024</v>
      </c>
    </row>
    <row r="37" spans="2:12">
      <c r="B37" s="358" t="s">
        <v>687</v>
      </c>
      <c r="C37" s="359">
        <v>699261.49692860711</v>
      </c>
      <c r="D37" s="359">
        <v>812286.73034853744</v>
      </c>
      <c r="E37" s="359">
        <v>878971</v>
      </c>
      <c r="F37" s="359">
        <v>1061309</v>
      </c>
      <c r="G37" s="359">
        <v>1702452</v>
      </c>
      <c r="H37" s="359">
        <v>618153</v>
      </c>
      <c r="I37" s="359">
        <v>842063</v>
      </c>
      <c r="J37" s="359">
        <v>1305197</v>
      </c>
      <c r="K37" s="359">
        <v>2088315.9999999998</v>
      </c>
      <c r="L37" s="359">
        <v>2841834.976631606</v>
      </c>
    </row>
    <row r="38" spans="2:12">
      <c r="B38" s="360" t="s">
        <v>699</v>
      </c>
      <c r="C38" s="361">
        <v>17514646.933708936</v>
      </c>
      <c r="D38" s="361">
        <v>20662991.690822147</v>
      </c>
      <c r="E38" s="361">
        <v>26893278</v>
      </c>
      <c r="F38" s="361">
        <v>29821677.682214141</v>
      </c>
      <c r="G38" s="361">
        <v>31482516</v>
      </c>
      <c r="H38" s="361">
        <v>38719469</v>
      </c>
      <c r="I38" s="361">
        <v>61226087</v>
      </c>
      <c r="J38" s="361">
        <v>93687387</v>
      </c>
      <c r="K38" s="361">
        <v>127066007</v>
      </c>
      <c r="L38" s="361">
        <v>155720410.67971155</v>
      </c>
    </row>
    <row r="39" spans="2:12">
      <c r="B39" s="360" t="s">
        <v>700</v>
      </c>
      <c r="C39" s="362">
        <f>(C37/C38)*100</f>
        <v>3.9924384406676139</v>
      </c>
      <c r="D39" s="362">
        <f t="shared" ref="D39:L39" si="0">(D37/D38)*100</f>
        <v>3.9311187000541157</v>
      </c>
      <c r="E39" s="362">
        <f t="shared" si="0"/>
        <v>3.2683669130999946</v>
      </c>
      <c r="F39" s="362">
        <f t="shared" si="0"/>
        <v>3.5588507504826672</v>
      </c>
      <c r="G39" s="362">
        <f t="shared" si="0"/>
        <v>5.4076110054228197</v>
      </c>
      <c r="H39" s="362">
        <f t="shared" si="0"/>
        <v>1.5964914188260175</v>
      </c>
      <c r="I39" s="362">
        <f t="shared" si="0"/>
        <v>1.3753336874198738</v>
      </c>
      <c r="J39" s="362">
        <f t="shared" si="0"/>
        <v>1.3931405729140467</v>
      </c>
      <c r="K39" s="362">
        <f t="shared" si="0"/>
        <v>1.6434891197926758</v>
      </c>
      <c r="L39" s="362">
        <f t="shared" si="0"/>
        <v>1.8249598522294816</v>
      </c>
    </row>
    <row r="40" spans="2:12">
      <c r="B40" s="651" t="s">
        <v>698</v>
      </c>
      <c r="C40" s="651"/>
      <c r="D40" s="651"/>
      <c r="E40" s="651"/>
      <c r="F40" s="651"/>
      <c r="G40" s="651"/>
      <c r="H40" s="651"/>
    </row>
  </sheetData>
  <mergeCells count="5">
    <mergeCell ref="B6:L6"/>
    <mergeCell ref="B40:H40"/>
    <mergeCell ref="B2:F2"/>
    <mergeCell ref="B3:F3"/>
    <mergeCell ref="B33:H33"/>
  </mergeCells>
  <phoneticPr fontId="3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C2:BL96"/>
  <sheetViews>
    <sheetView zoomScale="80" zoomScaleNormal="80" workbookViewId="0">
      <selection activeCell="N33" sqref="N33:T35"/>
    </sheetView>
  </sheetViews>
  <sheetFormatPr defaultRowHeight="15"/>
  <cols>
    <col min="1" max="1" width="9.140625" style="162"/>
    <col min="2" max="2" width="14.85546875" style="162" customWidth="1"/>
    <col min="3" max="3" width="16.85546875" style="162" customWidth="1"/>
    <col min="4" max="4" width="32.28515625" style="162" customWidth="1"/>
    <col min="5" max="5" width="15.28515625" style="162" customWidth="1"/>
    <col min="6" max="6" width="15.42578125" style="162" customWidth="1"/>
    <col min="7" max="7" width="12.28515625" style="162" customWidth="1"/>
    <col min="8" max="8" width="20.5703125" style="162" customWidth="1"/>
    <col min="9" max="9" width="23.7109375" style="162" customWidth="1"/>
    <col min="10" max="11" width="9.140625" style="162"/>
    <col min="12" max="12" width="21" style="162" bestFit="1" customWidth="1"/>
    <col min="13" max="13" width="9.140625" style="162"/>
    <col min="14" max="14" width="13.28515625" style="162" customWidth="1"/>
    <col min="15" max="15" width="14.140625" style="162" customWidth="1"/>
    <col min="16" max="16" width="9.140625" style="162" customWidth="1"/>
    <col min="17" max="17" width="9.140625" style="162"/>
    <col min="18" max="18" width="15.28515625" style="162" customWidth="1"/>
    <col min="19" max="20" width="13.140625" style="162" customWidth="1"/>
    <col min="21" max="22" width="9.140625" style="162"/>
    <col min="23" max="23" width="14.7109375" style="162" customWidth="1"/>
    <col min="24" max="24" width="21.5703125" style="367" customWidth="1"/>
    <col min="25" max="26" width="9.140625" style="162"/>
    <col min="27" max="27" width="12.85546875" style="162" customWidth="1"/>
    <col min="28" max="30" width="9.140625" style="162"/>
    <col min="31" max="31" width="30.7109375" style="162" customWidth="1"/>
    <col min="32" max="32" width="29.42578125" style="162" customWidth="1"/>
    <col min="33" max="33" width="6.28515625" style="162" customWidth="1"/>
    <col min="34" max="34" width="9.140625" style="162"/>
    <col min="35" max="35" width="5.7109375" style="162" customWidth="1"/>
    <col min="36" max="36" width="4.85546875" style="162" customWidth="1"/>
    <col min="37" max="37" width="11.28515625" style="162" customWidth="1"/>
    <col min="38" max="38" width="27.5703125" style="162" customWidth="1"/>
    <col min="39" max="39" width="31.28515625" style="162" customWidth="1"/>
    <col min="40" max="40" width="19.140625" style="162" customWidth="1"/>
    <col min="41" max="41" width="6" style="162" customWidth="1"/>
    <col min="42" max="42" width="9.140625" style="162"/>
    <col min="43" max="43" width="18.5703125" style="162" customWidth="1"/>
    <col min="44" max="44" width="9.140625" style="162"/>
    <col min="45" max="45" width="23.42578125" style="162" customWidth="1"/>
    <col min="46" max="46" width="25.42578125" style="162" customWidth="1"/>
    <col min="47" max="49" width="9.140625" style="162"/>
    <col min="50" max="50" width="23.42578125" style="162" customWidth="1"/>
    <col min="51" max="51" width="9.140625" style="162"/>
    <col min="52" max="52" width="36.140625" style="162" customWidth="1"/>
    <col min="53" max="55" width="9.140625" style="162"/>
    <col min="56" max="56" width="39.140625" style="162" customWidth="1"/>
    <col min="57" max="57" width="9.140625" style="162"/>
    <col min="58" max="58" width="41.140625" style="162" customWidth="1"/>
    <col min="59" max="61" width="9.140625" style="162"/>
    <col min="62" max="62" width="36.42578125" style="162" customWidth="1"/>
    <col min="63" max="16384" width="9.140625" style="162"/>
  </cols>
  <sheetData>
    <row r="2" spans="3:64" ht="41.25" customHeight="1">
      <c r="C2" s="474" t="s">
        <v>1489</v>
      </c>
      <c r="D2" s="474"/>
      <c r="E2" s="474"/>
      <c r="F2" s="474"/>
      <c r="G2" s="474"/>
      <c r="H2" s="474"/>
      <c r="I2" s="474"/>
    </row>
    <row r="3" spans="3:64" ht="43.5" customHeight="1">
      <c r="C3" s="475" t="s">
        <v>701</v>
      </c>
      <c r="D3" s="475"/>
      <c r="E3" s="475"/>
      <c r="F3" s="475"/>
      <c r="G3" s="475"/>
      <c r="H3" s="475"/>
      <c r="I3" s="475"/>
    </row>
    <row r="4" spans="3:64" ht="21.75" customHeight="1">
      <c r="X4" s="368"/>
      <c r="Y4" s="368"/>
      <c r="Z4" s="368"/>
      <c r="AA4" s="368"/>
    </row>
    <row r="5" spans="3:64" ht="15.75">
      <c r="C5" s="656" t="s">
        <v>702</v>
      </c>
      <c r="D5" s="657"/>
      <c r="E5" s="657"/>
      <c r="F5" s="657"/>
      <c r="G5" s="657"/>
      <c r="H5" s="657"/>
      <c r="I5" s="658"/>
      <c r="K5" s="667" t="s">
        <v>536</v>
      </c>
      <c r="L5" s="369">
        <v>2017</v>
      </c>
      <c r="M5" s="369"/>
      <c r="N5" s="369"/>
      <c r="O5" s="21"/>
      <c r="P5" s="369">
        <v>2017</v>
      </c>
      <c r="Q5" s="369"/>
      <c r="R5" s="369"/>
      <c r="V5" s="652"/>
      <c r="W5" s="652"/>
      <c r="X5" s="371" t="s">
        <v>703</v>
      </c>
      <c r="Y5" s="370" t="s">
        <v>704</v>
      </c>
      <c r="Z5" s="370" t="s">
        <v>705</v>
      </c>
      <c r="AA5" s="370" t="s">
        <v>706</v>
      </c>
      <c r="AB5" s="370" t="s">
        <v>705</v>
      </c>
      <c r="AE5" s="655" t="s">
        <v>707</v>
      </c>
      <c r="AF5" s="655"/>
      <c r="AG5" s="655"/>
      <c r="AH5" s="655"/>
      <c r="AK5" s="363"/>
      <c r="AL5" s="363"/>
      <c r="AM5" s="363"/>
      <c r="AN5" s="363"/>
    </row>
    <row r="6" spans="3:64" ht="13.5" customHeight="1">
      <c r="C6" s="666" t="s">
        <v>705</v>
      </c>
      <c r="D6" s="666" t="s">
        <v>708</v>
      </c>
      <c r="E6" s="666" t="s">
        <v>704</v>
      </c>
      <c r="F6" s="440" t="s">
        <v>705</v>
      </c>
      <c r="G6" s="440" t="s">
        <v>709</v>
      </c>
      <c r="H6" s="440" t="s">
        <v>705</v>
      </c>
      <c r="I6" s="666" t="s">
        <v>710</v>
      </c>
      <c r="K6" s="668"/>
      <c r="L6" s="369" t="s">
        <v>304</v>
      </c>
      <c r="M6" s="369" t="s">
        <v>305</v>
      </c>
      <c r="N6" s="369" t="s">
        <v>306</v>
      </c>
      <c r="O6" s="21"/>
      <c r="P6" s="369" t="s">
        <v>304</v>
      </c>
      <c r="Q6" s="369" t="s">
        <v>305</v>
      </c>
      <c r="R6" s="369" t="s">
        <v>306</v>
      </c>
      <c r="V6" s="661">
        <v>1</v>
      </c>
      <c r="W6" s="370" t="s">
        <v>708</v>
      </c>
      <c r="X6" s="371" t="s">
        <v>711</v>
      </c>
      <c r="Y6" s="370">
        <v>1</v>
      </c>
      <c r="Z6" s="370">
        <v>6</v>
      </c>
      <c r="AA6" s="370"/>
      <c r="AB6" s="370">
        <v>47</v>
      </c>
      <c r="AE6" s="14" t="s">
        <v>712</v>
      </c>
      <c r="AF6" s="15"/>
      <c r="AG6" s="21"/>
      <c r="AH6" s="21"/>
      <c r="AK6" s="292" t="s">
        <v>713</v>
      </c>
      <c r="AL6" s="21"/>
      <c r="AM6" s="21"/>
      <c r="AN6" s="21"/>
      <c r="AQ6" s="21"/>
      <c r="AR6" s="21"/>
      <c r="AS6" s="21"/>
      <c r="AT6" s="21"/>
      <c r="AU6" s="21"/>
      <c r="AX6" s="654" t="s">
        <v>714</v>
      </c>
      <c r="AY6" s="654"/>
      <c r="AZ6" s="654"/>
      <c r="BA6" s="654"/>
      <c r="BC6" s="21"/>
      <c r="BD6" s="21"/>
      <c r="BE6" s="21"/>
      <c r="BF6" s="21"/>
      <c r="BG6" s="21"/>
      <c r="BI6" s="21"/>
      <c r="BJ6" s="21"/>
      <c r="BK6" s="21"/>
      <c r="BL6" s="21"/>
    </row>
    <row r="7" spans="3:64" ht="17.25" customHeight="1">
      <c r="C7" s="666"/>
      <c r="D7" s="666"/>
      <c r="E7" s="666"/>
      <c r="F7" s="440" t="s">
        <v>715</v>
      </c>
      <c r="G7" s="440" t="s">
        <v>716</v>
      </c>
      <c r="H7" s="440" t="s">
        <v>717</v>
      </c>
      <c r="I7" s="666"/>
      <c r="K7" s="281" t="s">
        <v>718</v>
      </c>
      <c r="L7" s="372">
        <v>27500</v>
      </c>
      <c r="M7" s="372">
        <v>26500</v>
      </c>
      <c r="N7" s="372">
        <v>54000</v>
      </c>
      <c r="O7" s="281"/>
      <c r="P7" s="372"/>
      <c r="Q7" s="372"/>
      <c r="R7" s="372"/>
      <c r="V7" s="661"/>
      <c r="W7" s="661" t="s">
        <v>715</v>
      </c>
      <c r="X7" s="371" t="s">
        <v>719</v>
      </c>
      <c r="Y7" s="370"/>
      <c r="Z7" s="370">
        <v>1</v>
      </c>
      <c r="AA7" s="652" t="s">
        <v>712</v>
      </c>
      <c r="AB7" s="652">
        <v>31</v>
      </c>
      <c r="AD7" s="162">
        <v>1</v>
      </c>
      <c r="AE7" s="15" t="s">
        <v>720</v>
      </c>
      <c r="AF7" s="15" t="s">
        <v>721</v>
      </c>
      <c r="AG7" s="21">
        <v>1</v>
      </c>
      <c r="AH7" s="21"/>
      <c r="AK7" s="364" t="s">
        <v>722</v>
      </c>
      <c r="AL7" s="364" t="s">
        <v>723</v>
      </c>
      <c r="AM7" s="364" t="s">
        <v>724</v>
      </c>
      <c r="AN7" s="364" t="s">
        <v>725</v>
      </c>
      <c r="AQ7" s="373" t="s">
        <v>726</v>
      </c>
      <c r="AR7" s="21"/>
      <c r="AS7" s="374" t="s">
        <v>727</v>
      </c>
      <c r="AT7" s="374" t="s">
        <v>728</v>
      </c>
      <c r="AU7" s="21"/>
      <c r="AX7" s="375"/>
      <c r="AY7" s="140"/>
      <c r="AZ7" s="140"/>
      <c r="BA7" s="140"/>
      <c r="BC7" s="21">
        <v>1</v>
      </c>
      <c r="BD7" s="22" t="s">
        <v>729</v>
      </c>
      <c r="BE7" s="21"/>
      <c r="BF7" s="21"/>
      <c r="BG7" s="21"/>
      <c r="BI7" s="21"/>
      <c r="BJ7" s="22" t="s">
        <v>730</v>
      </c>
      <c r="BK7" s="21"/>
      <c r="BL7" s="21"/>
    </row>
    <row r="8" spans="3:64" ht="13.5" customHeight="1">
      <c r="C8" s="155">
        <v>1</v>
      </c>
      <c r="D8" s="186" t="s">
        <v>711</v>
      </c>
      <c r="E8" s="281">
        <v>1</v>
      </c>
      <c r="F8" s="281">
        <v>6</v>
      </c>
      <c r="G8" s="281">
        <v>7</v>
      </c>
      <c r="H8" s="281">
        <v>47</v>
      </c>
      <c r="I8" s="376" t="s">
        <v>731</v>
      </c>
      <c r="K8" s="377" t="s">
        <v>732</v>
      </c>
      <c r="L8" s="372">
        <v>25700</v>
      </c>
      <c r="M8" s="372">
        <v>24100</v>
      </c>
      <c r="N8" s="372">
        <v>49800</v>
      </c>
      <c r="O8" s="377"/>
      <c r="P8" s="372"/>
      <c r="Q8" s="372"/>
      <c r="R8" s="372"/>
      <c r="V8" s="661"/>
      <c r="W8" s="661"/>
      <c r="X8" s="371" t="s">
        <v>733</v>
      </c>
      <c r="Y8" s="370"/>
      <c r="Z8" s="370">
        <v>1</v>
      </c>
      <c r="AA8" s="652"/>
      <c r="AB8" s="652"/>
      <c r="AD8" s="162">
        <v>1</v>
      </c>
      <c r="AE8" s="15" t="s">
        <v>734</v>
      </c>
      <c r="AF8" s="15" t="s">
        <v>735</v>
      </c>
      <c r="AG8" s="21">
        <v>1</v>
      </c>
      <c r="AH8" s="21"/>
      <c r="AJ8" s="162">
        <v>1</v>
      </c>
      <c r="AK8" s="365">
        <v>1</v>
      </c>
      <c r="AL8" s="365" t="s">
        <v>736</v>
      </c>
      <c r="AM8" s="365" t="s">
        <v>737</v>
      </c>
      <c r="AN8" s="365" t="s">
        <v>738</v>
      </c>
      <c r="AO8" s="162">
        <v>1</v>
      </c>
      <c r="AQ8" s="378" t="s">
        <v>739</v>
      </c>
      <c r="AR8" s="21"/>
      <c r="AS8" s="663" t="s">
        <v>740</v>
      </c>
      <c r="AT8" s="380" t="s">
        <v>741</v>
      </c>
      <c r="AU8" s="21">
        <v>1</v>
      </c>
      <c r="AX8" s="381" t="s">
        <v>742</v>
      </c>
      <c r="AY8" s="140"/>
      <c r="AZ8" s="381" t="s">
        <v>743</v>
      </c>
      <c r="BA8" s="140"/>
      <c r="BC8" s="21"/>
      <c r="BD8" s="22" t="s">
        <v>744</v>
      </c>
      <c r="BE8" s="21"/>
      <c r="BF8" s="21"/>
      <c r="BG8" s="21"/>
      <c r="BI8" s="21"/>
      <c r="BJ8" s="378" t="s">
        <v>745</v>
      </c>
      <c r="BK8" s="21">
        <v>1</v>
      </c>
      <c r="BL8" s="21"/>
    </row>
    <row r="9" spans="3:64" ht="13.5" customHeight="1">
      <c r="C9" s="74">
        <v>2</v>
      </c>
      <c r="D9" s="186" t="s">
        <v>746</v>
      </c>
      <c r="E9" s="281">
        <v>1</v>
      </c>
      <c r="F9" s="281">
        <v>8</v>
      </c>
      <c r="G9" s="281">
        <v>9</v>
      </c>
      <c r="H9" s="281">
        <v>42</v>
      </c>
      <c r="I9" s="376" t="s">
        <v>747</v>
      </c>
      <c r="K9" s="377" t="s">
        <v>748</v>
      </c>
      <c r="L9" s="372">
        <v>25300</v>
      </c>
      <c r="M9" s="372">
        <v>24000</v>
      </c>
      <c r="N9" s="372">
        <v>49300</v>
      </c>
      <c r="O9" s="377"/>
      <c r="P9" s="372"/>
      <c r="Q9" s="372"/>
      <c r="R9" s="372"/>
      <c r="V9" s="661"/>
      <c r="W9" s="661"/>
      <c r="X9" s="371" t="s">
        <v>749</v>
      </c>
      <c r="Y9" s="370"/>
      <c r="Z9" s="370">
        <v>1</v>
      </c>
      <c r="AA9" s="652"/>
      <c r="AB9" s="652"/>
      <c r="AD9" s="162">
        <v>1</v>
      </c>
      <c r="AE9" s="15" t="s">
        <v>750</v>
      </c>
      <c r="AF9" s="15" t="s">
        <v>751</v>
      </c>
      <c r="AG9" s="21">
        <v>1</v>
      </c>
      <c r="AH9" s="21"/>
      <c r="AK9" s="365">
        <v>2</v>
      </c>
      <c r="AL9" s="365" t="s">
        <v>752</v>
      </c>
      <c r="AM9" s="365" t="s">
        <v>753</v>
      </c>
      <c r="AN9" s="365" t="s">
        <v>754</v>
      </c>
      <c r="AO9" s="162">
        <v>1</v>
      </c>
      <c r="AQ9" s="382" t="s">
        <v>1490</v>
      </c>
      <c r="AR9" s="21"/>
      <c r="AS9" s="663"/>
      <c r="AT9" s="380" t="s">
        <v>712</v>
      </c>
      <c r="AU9" s="21"/>
      <c r="AX9" s="375" t="s">
        <v>755</v>
      </c>
      <c r="AY9" s="140"/>
      <c r="AZ9" s="375" t="s">
        <v>755</v>
      </c>
      <c r="BA9" s="140">
        <v>1</v>
      </c>
      <c r="BC9" s="21"/>
      <c r="BD9" s="22" t="s">
        <v>756</v>
      </c>
      <c r="BE9" s="21"/>
      <c r="BF9" s="21" t="s">
        <v>757</v>
      </c>
      <c r="BG9" s="21"/>
      <c r="BI9" s="21"/>
      <c r="BJ9" s="22" t="s">
        <v>758</v>
      </c>
      <c r="BK9" s="21"/>
      <c r="BL9" s="21"/>
    </row>
    <row r="10" spans="3:64" ht="13.5" customHeight="1">
      <c r="C10" s="74">
        <v>3</v>
      </c>
      <c r="D10" s="186" t="s">
        <v>759</v>
      </c>
      <c r="E10" s="281">
        <v>1</v>
      </c>
      <c r="F10" s="281">
        <v>5</v>
      </c>
      <c r="G10" s="281">
        <v>6</v>
      </c>
      <c r="H10" s="281">
        <v>26</v>
      </c>
      <c r="I10" s="376" t="s">
        <v>760</v>
      </c>
      <c r="K10" s="383" t="s">
        <v>454</v>
      </c>
      <c r="L10" s="372">
        <v>24700</v>
      </c>
      <c r="M10" s="372">
        <v>23700</v>
      </c>
      <c r="N10" s="372">
        <v>48400</v>
      </c>
      <c r="O10" s="383" t="s">
        <v>454</v>
      </c>
      <c r="P10" s="372">
        <v>24700</v>
      </c>
      <c r="Q10" s="372">
        <v>23700</v>
      </c>
      <c r="R10" s="372">
        <v>48400</v>
      </c>
      <c r="V10" s="661"/>
      <c r="W10" s="661"/>
      <c r="X10" s="371" t="s">
        <v>761</v>
      </c>
      <c r="Y10" s="370"/>
      <c r="Z10" s="370">
        <v>1</v>
      </c>
      <c r="AA10" s="652"/>
      <c r="AB10" s="652"/>
      <c r="AD10" s="162">
        <v>1</v>
      </c>
      <c r="AE10" s="15" t="s">
        <v>762</v>
      </c>
      <c r="AF10" s="15" t="s">
        <v>763</v>
      </c>
      <c r="AG10" s="21">
        <v>1</v>
      </c>
      <c r="AH10" s="21"/>
      <c r="AK10" s="365">
        <v>3</v>
      </c>
      <c r="AL10" s="365" t="s">
        <v>764</v>
      </c>
      <c r="AM10" s="365" t="s">
        <v>765</v>
      </c>
      <c r="AN10" s="365" t="s">
        <v>766</v>
      </c>
      <c r="AO10" s="162">
        <v>1</v>
      </c>
      <c r="AQ10" s="382" t="s">
        <v>1491</v>
      </c>
      <c r="AR10" s="21"/>
      <c r="AS10" s="662" t="s">
        <v>767</v>
      </c>
      <c r="AT10" s="385" t="s">
        <v>768</v>
      </c>
      <c r="AU10" s="21">
        <v>1</v>
      </c>
      <c r="AX10" s="375" t="s">
        <v>769</v>
      </c>
      <c r="AY10" s="140"/>
      <c r="AZ10" s="375" t="s">
        <v>769</v>
      </c>
      <c r="BA10" s="140"/>
      <c r="BC10" s="21"/>
      <c r="BD10" s="23" t="s">
        <v>770</v>
      </c>
      <c r="BE10" s="21"/>
      <c r="BF10" s="21" t="s">
        <v>771</v>
      </c>
      <c r="BG10" s="21"/>
      <c r="BI10" s="21"/>
      <c r="BJ10" s="378" t="s">
        <v>772</v>
      </c>
      <c r="BK10" s="21">
        <v>1</v>
      </c>
      <c r="BL10" s="21"/>
    </row>
    <row r="11" spans="3:64" ht="13.5" customHeight="1">
      <c r="C11" s="74">
        <v>4</v>
      </c>
      <c r="D11" s="186" t="s">
        <v>742</v>
      </c>
      <c r="E11" s="281">
        <v>1</v>
      </c>
      <c r="F11" s="281">
        <v>3</v>
      </c>
      <c r="G11" s="281">
        <v>4</v>
      </c>
      <c r="H11" s="281">
        <v>33</v>
      </c>
      <c r="I11" s="376" t="s">
        <v>773</v>
      </c>
      <c r="K11" s="383" t="s">
        <v>455</v>
      </c>
      <c r="L11" s="372">
        <v>23800</v>
      </c>
      <c r="M11" s="372">
        <v>23100</v>
      </c>
      <c r="N11" s="372">
        <v>46900</v>
      </c>
      <c r="O11" s="383" t="s">
        <v>455</v>
      </c>
      <c r="P11" s="372">
        <v>23800</v>
      </c>
      <c r="Q11" s="372">
        <v>23100</v>
      </c>
      <c r="R11" s="372">
        <v>46900</v>
      </c>
      <c r="V11" s="661"/>
      <c r="W11" s="661"/>
      <c r="X11" s="371" t="s">
        <v>774</v>
      </c>
      <c r="Y11" s="370"/>
      <c r="Z11" s="370">
        <v>1</v>
      </c>
      <c r="AA11" s="370" t="s">
        <v>775</v>
      </c>
      <c r="AB11" s="370">
        <v>4</v>
      </c>
      <c r="AD11" s="162">
        <v>1</v>
      </c>
      <c r="AE11" s="15" t="s">
        <v>776</v>
      </c>
      <c r="AF11" s="15" t="s">
        <v>777</v>
      </c>
      <c r="AG11" s="21">
        <v>1</v>
      </c>
      <c r="AH11" s="21"/>
      <c r="AK11" s="21"/>
      <c r="AL11" s="21"/>
      <c r="AM11" s="21"/>
      <c r="AN11" s="21"/>
      <c r="AQ11" s="386"/>
      <c r="AR11" s="21"/>
      <c r="AS11" s="662"/>
      <c r="AT11" s="385" t="s">
        <v>712</v>
      </c>
      <c r="AU11" s="21"/>
      <c r="AX11" s="375" t="s">
        <v>778</v>
      </c>
      <c r="AY11" s="140"/>
      <c r="AZ11" s="140"/>
      <c r="BA11" s="140"/>
      <c r="BC11" s="21"/>
      <c r="BD11" s="22" t="s">
        <v>779</v>
      </c>
      <c r="BE11" s="21"/>
      <c r="BF11" s="21" t="s">
        <v>780</v>
      </c>
      <c r="BG11" s="21"/>
      <c r="BI11" s="21"/>
      <c r="BJ11" s="22" t="s">
        <v>781</v>
      </c>
      <c r="BK11" s="21"/>
      <c r="BL11" s="21"/>
    </row>
    <row r="12" spans="3:64" ht="13.5" customHeight="1">
      <c r="C12" s="74">
        <v>5</v>
      </c>
      <c r="D12" s="186" t="s">
        <v>782</v>
      </c>
      <c r="E12" s="281">
        <v>1</v>
      </c>
      <c r="F12" s="281">
        <v>1</v>
      </c>
      <c r="G12" s="281">
        <v>2</v>
      </c>
      <c r="H12" s="281">
        <v>8</v>
      </c>
      <c r="I12" s="376" t="s">
        <v>783</v>
      </c>
      <c r="K12" s="383" t="s">
        <v>456</v>
      </c>
      <c r="L12" s="372">
        <v>22700</v>
      </c>
      <c r="M12" s="372">
        <v>22500</v>
      </c>
      <c r="N12" s="372">
        <v>45200</v>
      </c>
      <c r="O12" s="383" t="s">
        <v>456</v>
      </c>
      <c r="P12" s="372">
        <v>22700</v>
      </c>
      <c r="Q12" s="372">
        <v>22500</v>
      </c>
      <c r="R12" s="372">
        <v>45200</v>
      </c>
      <c r="V12" s="661"/>
      <c r="W12" s="661"/>
      <c r="X12" s="371" t="s">
        <v>784</v>
      </c>
      <c r="Y12" s="370"/>
      <c r="Z12" s="370">
        <v>1</v>
      </c>
      <c r="AA12" s="370" t="s">
        <v>785</v>
      </c>
      <c r="AB12" s="370">
        <v>3</v>
      </c>
      <c r="AE12" s="15" t="s">
        <v>786</v>
      </c>
      <c r="AF12" s="15" t="s">
        <v>787</v>
      </c>
      <c r="AG12" s="21">
        <v>1</v>
      </c>
      <c r="AH12" s="21"/>
      <c r="AK12" s="21"/>
      <c r="AL12" s="21"/>
      <c r="AM12" s="21"/>
      <c r="AN12" s="21"/>
      <c r="AQ12" s="387" t="s">
        <v>775</v>
      </c>
      <c r="AR12" s="21"/>
      <c r="AS12" s="663" t="s">
        <v>788</v>
      </c>
      <c r="AT12" s="380" t="s">
        <v>789</v>
      </c>
      <c r="AU12" s="21">
        <v>1</v>
      </c>
      <c r="AX12" s="375" t="s">
        <v>790</v>
      </c>
      <c r="AY12" s="140"/>
      <c r="AZ12" s="381" t="s">
        <v>791</v>
      </c>
      <c r="BA12" s="140">
        <v>1</v>
      </c>
      <c r="BC12" s="21"/>
      <c r="BD12" s="23" t="s">
        <v>792</v>
      </c>
      <c r="BE12" s="21"/>
      <c r="BF12" s="21"/>
      <c r="BG12" s="21"/>
      <c r="BI12" s="21"/>
      <c r="BJ12" s="378" t="s">
        <v>793</v>
      </c>
      <c r="BK12" s="21">
        <v>1</v>
      </c>
      <c r="BL12" s="21"/>
    </row>
    <row r="13" spans="3:64" ht="13.5" customHeight="1">
      <c r="C13" s="74">
        <v>6</v>
      </c>
      <c r="D13" s="186" t="s">
        <v>794</v>
      </c>
      <c r="E13" s="281">
        <v>1</v>
      </c>
      <c r="F13" s="281">
        <v>4</v>
      </c>
      <c r="G13" s="281">
        <v>5</v>
      </c>
      <c r="H13" s="281">
        <v>2</v>
      </c>
      <c r="I13" s="186" t="s">
        <v>795</v>
      </c>
      <c r="K13" s="383" t="s">
        <v>457</v>
      </c>
      <c r="L13" s="372">
        <v>21700</v>
      </c>
      <c r="M13" s="372">
        <v>21600</v>
      </c>
      <c r="N13" s="372">
        <v>43300</v>
      </c>
      <c r="O13" s="383" t="s">
        <v>457</v>
      </c>
      <c r="P13" s="372">
        <v>21700</v>
      </c>
      <c r="Q13" s="372">
        <v>21600</v>
      </c>
      <c r="R13" s="372">
        <v>43300</v>
      </c>
      <c r="V13" s="370"/>
      <c r="W13" s="370"/>
      <c r="X13" s="371"/>
      <c r="Y13" s="370"/>
      <c r="Z13" s="370"/>
      <c r="AA13" s="370" t="s">
        <v>796</v>
      </c>
      <c r="AB13" s="370">
        <v>9</v>
      </c>
      <c r="AE13" s="15" t="s">
        <v>797</v>
      </c>
      <c r="AF13" s="15" t="s">
        <v>798</v>
      </c>
      <c r="AG13" s="21">
        <v>1</v>
      </c>
      <c r="AH13" s="21"/>
      <c r="AK13" s="292" t="s">
        <v>799</v>
      </c>
      <c r="AL13" s="21"/>
      <c r="AM13" s="21"/>
      <c r="AN13" s="21"/>
      <c r="AQ13" s="388" t="s">
        <v>800</v>
      </c>
      <c r="AR13" s="21"/>
      <c r="AS13" s="663"/>
      <c r="AT13" s="380" t="s">
        <v>712</v>
      </c>
      <c r="AU13" s="21"/>
      <c r="AX13" s="389" t="s">
        <v>801</v>
      </c>
      <c r="AY13" s="140"/>
      <c r="AZ13" s="375" t="s">
        <v>755</v>
      </c>
      <c r="BA13" s="140"/>
      <c r="BC13" s="21"/>
      <c r="BD13" s="23" t="s">
        <v>802</v>
      </c>
      <c r="BE13" s="21"/>
      <c r="BF13" s="21"/>
      <c r="BG13" s="21"/>
      <c r="BI13" s="21"/>
      <c r="BJ13" s="22" t="s">
        <v>803</v>
      </c>
      <c r="BK13" s="21"/>
      <c r="BL13" s="21"/>
    </row>
    <row r="14" spans="3:64" ht="13.5" customHeight="1">
      <c r="C14" s="74">
        <v>5</v>
      </c>
      <c r="D14" s="186" t="s">
        <v>804</v>
      </c>
      <c r="E14" s="281">
        <v>1</v>
      </c>
      <c r="F14" s="281">
        <v>1</v>
      </c>
      <c r="G14" s="281">
        <v>2</v>
      </c>
      <c r="H14" s="281">
        <v>8</v>
      </c>
      <c r="I14" s="186" t="s">
        <v>805</v>
      </c>
      <c r="K14" s="383" t="s">
        <v>458</v>
      </c>
      <c r="L14" s="372">
        <v>20500</v>
      </c>
      <c r="M14" s="372">
        <v>20600</v>
      </c>
      <c r="N14" s="372">
        <v>41100</v>
      </c>
      <c r="O14" s="383" t="s">
        <v>458</v>
      </c>
      <c r="P14" s="372">
        <v>20500</v>
      </c>
      <c r="Q14" s="372">
        <v>20600</v>
      </c>
      <c r="R14" s="372">
        <v>41100</v>
      </c>
      <c r="V14" s="370"/>
      <c r="W14" s="370"/>
      <c r="X14" s="371"/>
      <c r="Y14" s="370"/>
      <c r="Z14" s="370"/>
      <c r="AA14" s="370"/>
      <c r="AB14" s="370"/>
      <c r="AE14" s="15" t="s">
        <v>806</v>
      </c>
      <c r="AF14" s="15" t="s">
        <v>807</v>
      </c>
      <c r="AG14" s="21">
        <v>1</v>
      </c>
      <c r="AH14" s="21"/>
      <c r="AK14" s="364" t="s">
        <v>722</v>
      </c>
      <c r="AL14" s="364" t="s">
        <v>723</v>
      </c>
      <c r="AM14" s="364" t="s">
        <v>724</v>
      </c>
      <c r="AN14" s="364" t="s">
        <v>725</v>
      </c>
      <c r="AQ14" s="390" t="s">
        <v>1492</v>
      </c>
      <c r="AR14" s="21"/>
      <c r="AS14" s="662" t="s">
        <v>808</v>
      </c>
      <c r="AT14" s="385" t="s">
        <v>809</v>
      </c>
      <c r="AU14" s="21">
        <v>1</v>
      </c>
      <c r="AX14" s="375"/>
      <c r="AY14" s="140"/>
      <c r="AZ14" s="375" t="s">
        <v>769</v>
      </c>
      <c r="BA14" s="140"/>
      <c r="BC14" s="21"/>
      <c r="BD14" s="23" t="s">
        <v>810</v>
      </c>
      <c r="BE14" s="21"/>
      <c r="BF14" s="21"/>
      <c r="BG14" s="21"/>
      <c r="BI14" s="21"/>
      <c r="BJ14" s="378" t="s">
        <v>811</v>
      </c>
      <c r="BK14" s="21">
        <v>1</v>
      </c>
      <c r="BL14" s="21"/>
    </row>
    <row r="15" spans="3:64" ht="13.5" customHeight="1">
      <c r="C15" s="74">
        <v>6</v>
      </c>
      <c r="D15" s="186" t="s">
        <v>812</v>
      </c>
      <c r="E15" s="281">
        <v>1</v>
      </c>
      <c r="F15" s="281">
        <v>1</v>
      </c>
      <c r="G15" s="281">
        <v>2</v>
      </c>
      <c r="H15" s="281">
        <v>1</v>
      </c>
      <c r="I15" s="376" t="s">
        <v>813</v>
      </c>
      <c r="K15" s="383" t="s">
        <v>459</v>
      </c>
      <c r="L15" s="372">
        <v>19300</v>
      </c>
      <c r="M15" s="372">
        <v>19400</v>
      </c>
      <c r="N15" s="372">
        <v>38700</v>
      </c>
      <c r="O15" s="383" t="s">
        <v>459</v>
      </c>
      <c r="P15" s="372">
        <v>19300</v>
      </c>
      <c r="Q15" s="372">
        <v>19400</v>
      </c>
      <c r="R15" s="372">
        <v>38700</v>
      </c>
      <c r="V15" s="370"/>
      <c r="W15" s="370" t="s">
        <v>708</v>
      </c>
      <c r="X15" s="371" t="s">
        <v>746</v>
      </c>
      <c r="Y15" s="370">
        <v>1</v>
      </c>
      <c r="Z15" s="370">
        <v>7</v>
      </c>
      <c r="AA15" s="370"/>
      <c r="AB15" s="370">
        <v>42</v>
      </c>
      <c r="AE15" s="15" t="s">
        <v>814</v>
      </c>
      <c r="AF15" s="15" t="s">
        <v>815</v>
      </c>
      <c r="AG15" s="21">
        <v>1</v>
      </c>
      <c r="AH15" s="21"/>
      <c r="AJ15" s="162">
        <v>1</v>
      </c>
      <c r="AK15" s="365">
        <v>1</v>
      </c>
      <c r="AL15" s="365" t="s">
        <v>816</v>
      </c>
      <c r="AM15" s="365" t="s">
        <v>817</v>
      </c>
      <c r="AN15" s="365" t="s">
        <v>818</v>
      </c>
      <c r="AO15" s="162">
        <v>1</v>
      </c>
      <c r="AQ15" s="390" t="s">
        <v>1491</v>
      </c>
      <c r="AR15" s="21"/>
      <c r="AS15" s="662"/>
      <c r="AT15" s="385" t="s">
        <v>819</v>
      </c>
      <c r="AU15" s="21"/>
      <c r="AX15" s="375" t="s">
        <v>820</v>
      </c>
      <c r="AY15" s="140"/>
      <c r="AZ15" s="140"/>
      <c r="BA15" s="140"/>
      <c r="BC15" s="21"/>
      <c r="BD15" s="23" t="s">
        <v>821</v>
      </c>
      <c r="BE15" s="21"/>
      <c r="BF15" s="21"/>
      <c r="BG15" s="21"/>
      <c r="BI15" s="21"/>
      <c r="BJ15" s="22" t="s">
        <v>822</v>
      </c>
      <c r="BK15" s="21"/>
      <c r="BL15" s="21"/>
    </row>
    <row r="16" spans="3:64" ht="13.5" customHeight="1">
      <c r="C16" s="74">
        <v>7</v>
      </c>
      <c r="D16" s="186" t="s">
        <v>823</v>
      </c>
      <c r="E16" s="281">
        <v>1</v>
      </c>
      <c r="F16" s="281">
        <v>0</v>
      </c>
      <c r="G16" s="281">
        <v>1</v>
      </c>
      <c r="H16" s="281"/>
      <c r="I16" s="376" t="s">
        <v>824</v>
      </c>
      <c r="K16" s="383" t="s">
        <v>460</v>
      </c>
      <c r="L16" s="372">
        <v>18400</v>
      </c>
      <c r="M16" s="372">
        <v>18500</v>
      </c>
      <c r="N16" s="372">
        <v>36900</v>
      </c>
      <c r="O16" s="383" t="s">
        <v>460</v>
      </c>
      <c r="P16" s="372">
        <v>18400</v>
      </c>
      <c r="Q16" s="372">
        <v>18500</v>
      </c>
      <c r="R16" s="372">
        <v>36900</v>
      </c>
      <c r="V16" s="370">
        <v>2</v>
      </c>
      <c r="W16" s="370" t="s">
        <v>825</v>
      </c>
      <c r="X16" s="371"/>
      <c r="Y16" s="370"/>
      <c r="Z16" s="370"/>
      <c r="AA16" s="370"/>
      <c r="AB16" s="370"/>
      <c r="AE16" s="15" t="s">
        <v>826</v>
      </c>
      <c r="AF16" s="15" t="s">
        <v>827</v>
      </c>
      <c r="AG16" s="21">
        <v>1</v>
      </c>
      <c r="AH16" s="21"/>
      <c r="AK16" s="365">
        <v>2</v>
      </c>
      <c r="AL16" s="365" t="s">
        <v>828</v>
      </c>
      <c r="AM16" s="365" t="s">
        <v>829</v>
      </c>
      <c r="AN16" s="365" t="s">
        <v>830</v>
      </c>
      <c r="AO16" s="162">
        <v>1</v>
      </c>
      <c r="AQ16" s="23"/>
      <c r="AR16" s="21"/>
      <c r="AS16" s="663" t="s">
        <v>831</v>
      </c>
      <c r="AT16" s="380" t="s">
        <v>832</v>
      </c>
      <c r="AU16" s="21">
        <v>1</v>
      </c>
      <c r="AX16" s="375" t="s">
        <v>833</v>
      </c>
      <c r="AY16" s="140"/>
      <c r="AZ16" s="381" t="s">
        <v>834</v>
      </c>
      <c r="BA16" s="140">
        <v>1</v>
      </c>
      <c r="BC16" s="21"/>
      <c r="BD16" s="23" t="s">
        <v>835</v>
      </c>
      <c r="BE16" s="21"/>
      <c r="BF16" s="21"/>
      <c r="BG16" s="21"/>
      <c r="BI16" s="21"/>
      <c r="BJ16" s="378" t="s">
        <v>836</v>
      </c>
      <c r="BK16" s="21">
        <v>1</v>
      </c>
      <c r="BL16" s="21"/>
    </row>
    <row r="17" spans="3:64" ht="13.5" customHeight="1">
      <c r="C17" s="281"/>
      <c r="D17" s="186" t="s">
        <v>837</v>
      </c>
      <c r="E17" s="281">
        <v>7</v>
      </c>
      <c r="F17" s="281">
        <f>SUM(F8:F16)</f>
        <v>29</v>
      </c>
      <c r="G17" s="281">
        <f t="shared" ref="G17:H17" si="0">SUM(G8:G16)</f>
        <v>38</v>
      </c>
      <c r="H17" s="281">
        <f t="shared" si="0"/>
        <v>167</v>
      </c>
      <c r="I17" s="186"/>
      <c r="K17" s="383" t="s">
        <v>461</v>
      </c>
      <c r="L17" s="372">
        <v>16400</v>
      </c>
      <c r="M17" s="372">
        <v>16600</v>
      </c>
      <c r="N17" s="372">
        <v>33000</v>
      </c>
      <c r="O17" s="383" t="s">
        <v>461</v>
      </c>
      <c r="P17" s="372">
        <v>16400</v>
      </c>
      <c r="Q17" s="372">
        <v>16600</v>
      </c>
      <c r="R17" s="372">
        <v>33000</v>
      </c>
      <c r="V17" s="211"/>
      <c r="W17" s="370"/>
      <c r="X17" s="371"/>
      <c r="Y17" s="370"/>
      <c r="Z17" s="370"/>
      <c r="AA17" s="370"/>
      <c r="AB17" s="370"/>
      <c r="AE17" s="15" t="s">
        <v>838</v>
      </c>
      <c r="AF17" s="15" t="s">
        <v>839</v>
      </c>
      <c r="AG17" s="21">
        <v>1</v>
      </c>
      <c r="AH17" s="21"/>
      <c r="AK17" s="365">
        <v>3</v>
      </c>
      <c r="AL17" s="365" t="s">
        <v>840</v>
      </c>
      <c r="AM17" s="365" t="s">
        <v>841</v>
      </c>
      <c r="AN17" s="365" t="s">
        <v>842</v>
      </c>
      <c r="AO17" s="162">
        <v>1</v>
      </c>
      <c r="AQ17" s="373" t="s">
        <v>712</v>
      </c>
      <c r="AR17" s="21"/>
      <c r="AS17" s="663"/>
      <c r="AT17" s="380" t="s">
        <v>712</v>
      </c>
      <c r="AU17" s="21"/>
      <c r="AX17" s="375"/>
      <c r="AY17" s="140"/>
      <c r="AZ17" s="375" t="s">
        <v>843</v>
      </c>
      <c r="BA17" s="140"/>
      <c r="BC17" s="21"/>
      <c r="BD17" s="23" t="s">
        <v>844</v>
      </c>
      <c r="BE17" s="21"/>
      <c r="BF17" s="21"/>
      <c r="BG17" s="21"/>
      <c r="BI17" s="21"/>
      <c r="BJ17" s="22" t="s">
        <v>719</v>
      </c>
      <c r="BK17" s="21"/>
      <c r="BL17" s="21"/>
    </row>
    <row r="18" spans="3:64" ht="14.25" customHeight="1">
      <c r="C18" s="140"/>
      <c r="D18" s="140" t="s">
        <v>845</v>
      </c>
      <c r="E18" s="391">
        <v>430300</v>
      </c>
      <c r="F18" s="391">
        <v>430300</v>
      </c>
      <c r="G18" s="391">
        <v>430300</v>
      </c>
      <c r="H18" s="391">
        <v>430300</v>
      </c>
      <c r="I18" s="140"/>
      <c r="K18" s="383" t="s">
        <v>462</v>
      </c>
      <c r="L18" s="372">
        <v>13800</v>
      </c>
      <c r="M18" s="372">
        <v>14400</v>
      </c>
      <c r="N18" s="372">
        <v>28200</v>
      </c>
      <c r="O18" s="383" t="s">
        <v>462</v>
      </c>
      <c r="P18" s="372">
        <v>13800</v>
      </c>
      <c r="Q18" s="372">
        <v>14400</v>
      </c>
      <c r="R18" s="372">
        <v>28200</v>
      </c>
      <c r="V18" s="661"/>
      <c r="W18" s="661" t="s">
        <v>715</v>
      </c>
      <c r="X18" s="371" t="s">
        <v>846</v>
      </c>
      <c r="Y18" s="370"/>
      <c r="Z18" s="370">
        <v>1</v>
      </c>
      <c r="AA18" s="661" t="s">
        <v>712</v>
      </c>
      <c r="AB18" s="661">
        <v>27</v>
      </c>
      <c r="AE18" s="15" t="s">
        <v>128</v>
      </c>
      <c r="AF18" s="15" t="s">
        <v>847</v>
      </c>
      <c r="AG18" s="21">
        <v>1</v>
      </c>
      <c r="AH18" s="21"/>
      <c r="AK18" s="365">
        <v>4</v>
      </c>
      <c r="AL18" s="365" t="s">
        <v>848</v>
      </c>
      <c r="AM18" s="365" t="s">
        <v>849</v>
      </c>
      <c r="AN18" s="365" t="s">
        <v>850</v>
      </c>
      <c r="AO18" s="162">
        <v>1</v>
      </c>
      <c r="AQ18" s="378" t="s">
        <v>851</v>
      </c>
      <c r="AR18" s="21"/>
      <c r="AS18" s="662" t="s">
        <v>852</v>
      </c>
      <c r="AT18" s="385" t="s">
        <v>853</v>
      </c>
      <c r="AU18" s="21">
        <v>1</v>
      </c>
      <c r="AX18" s="375"/>
      <c r="AY18" s="140"/>
      <c r="AZ18" s="375" t="s">
        <v>854</v>
      </c>
      <c r="BA18" s="140"/>
      <c r="BC18" s="21"/>
      <c r="BD18" s="24" t="s">
        <v>855</v>
      </c>
      <c r="BE18" s="21"/>
      <c r="BF18" s="21"/>
      <c r="BG18" s="21"/>
      <c r="BI18" s="21"/>
      <c r="BJ18" s="378" t="s">
        <v>856</v>
      </c>
      <c r="BK18" s="21">
        <v>1</v>
      </c>
      <c r="BL18" s="21"/>
    </row>
    <row r="19" spans="3:64" ht="14.25" customHeight="1">
      <c r="C19" s="140"/>
      <c r="D19" s="140" t="s">
        <v>857</v>
      </c>
      <c r="E19" s="319">
        <f>E17/E18*100000</f>
        <v>1.6267720195212643</v>
      </c>
      <c r="F19" s="319">
        <f t="shared" ref="F19:H19" si="1">F17/F18*100000</f>
        <v>6.739484080873809</v>
      </c>
      <c r="G19" s="319">
        <f t="shared" si="1"/>
        <v>8.8310481059725774</v>
      </c>
      <c r="H19" s="319">
        <f t="shared" si="1"/>
        <v>38.810132465721587</v>
      </c>
      <c r="I19" s="140"/>
      <c r="K19" s="383" t="s">
        <v>463</v>
      </c>
      <c r="L19" s="372">
        <v>11000</v>
      </c>
      <c r="M19" s="372">
        <v>11900</v>
      </c>
      <c r="N19" s="372">
        <v>22900</v>
      </c>
      <c r="O19" s="383" t="s">
        <v>463</v>
      </c>
      <c r="P19" s="372">
        <v>11000</v>
      </c>
      <c r="Q19" s="372">
        <v>11900</v>
      </c>
      <c r="R19" s="372">
        <v>22900</v>
      </c>
      <c r="V19" s="661"/>
      <c r="W19" s="661"/>
      <c r="X19" s="371" t="s">
        <v>858</v>
      </c>
      <c r="Y19" s="370"/>
      <c r="Z19" s="370">
        <v>1</v>
      </c>
      <c r="AA19" s="661"/>
      <c r="AB19" s="661"/>
      <c r="AE19" s="15" t="s">
        <v>859</v>
      </c>
      <c r="AF19" s="15" t="s">
        <v>860</v>
      </c>
      <c r="AG19" s="21">
        <v>1</v>
      </c>
      <c r="AH19" s="21"/>
      <c r="AK19" s="21"/>
      <c r="AL19" s="21"/>
      <c r="AM19" s="21"/>
      <c r="AN19" s="21"/>
      <c r="AQ19" s="382" t="s">
        <v>1493</v>
      </c>
      <c r="AR19" s="21"/>
      <c r="AS19" s="662"/>
      <c r="AT19" s="385" t="s">
        <v>712</v>
      </c>
      <c r="AU19" s="21"/>
      <c r="AX19" s="381" t="s">
        <v>861</v>
      </c>
      <c r="AY19" s="140"/>
      <c r="AZ19" s="140"/>
      <c r="BA19" s="140"/>
      <c r="BC19" s="21"/>
      <c r="BD19" s="23" t="s">
        <v>862</v>
      </c>
      <c r="BE19" s="21"/>
      <c r="BF19" s="21"/>
      <c r="BG19" s="21"/>
      <c r="BI19" s="21"/>
      <c r="BJ19" s="22" t="s">
        <v>863</v>
      </c>
      <c r="BK19" s="21">
        <v>1</v>
      </c>
      <c r="BL19" s="21"/>
    </row>
    <row r="20" spans="3:64" ht="14.25" customHeight="1">
      <c r="C20" s="670" t="s">
        <v>864</v>
      </c>
      <c r="D20" s="670"/>
      <c r="K20" s="383" t="s">
        <v>865</v>
      </c>
      <c r="L20" s="372">
        <v>7900</v>
      </c>
      <c r="M20" s="372">
        <v>9000</v>
      </c>
      <c r="N20" s="372">
        <v>16900</v>
      </c>
      <c r="O20" s="383" t="s">
        <v>865</v>
      </c>
      <c r="P20" s="372">
        <v>7900</v>
      </c>
      <c r="Q20" s="372">
        <v>9000</v>
      </c>
      <c r="R20" s="372">
        <v>16900</v>
      </c>
      <c r="V20" s="661"/>
      <c r="W20" s="661"/>
      <c r="X20" s="371" t="s">
        <v>866</v>
      </c>
      <c r="Y20" s="370"/>
      <c r="Z20" s="370">
        <v>1</v>
      </c>
      <c r="AA20" s="661"/>
      <c r="AB20" s="661"/>
      <c r="AE20" s="15" t="s">
        <v>867</v>
      </c>
      <c r="AF20" s="15" t="s">
        <v>868</v>
      </c>
      <c r="AG20" s="21">
        <v>1</v>
      </c>
      <c r="AH20" s="21"/>
      <c r="AK20" s="292" t="s">
        <v>869</v>
      </c>
      <c r="AL20" s="21"/>
      <c r="AM20" s="21"/>
      <c r="AN20" s="21"/>
      <c r="AQ20" s="382" t="s">
        <v>1494</v>
      </c>
      <c r="AR20" s="21"/>
      <c r="AS20" s="379" t="s">
        <v>870</v>
      </c>
      <c r="AT20" s="380" t="s">
        <v>871</v>
      </c>
      <c r="AU20" s="21"/>
      <c r="AX20" s="375" t="s">
        <v>872</v>
      </c>
      <c r="AY20" s="140"/>
      <c r="AZ20" s="381" t="s">
        <v>873</v>
      </c>
      <c r="BA20" s="140">
        <v>1</v>
      </c>
      <c r="BC20" s="21"/>
      <c r="BD20" s="22" t="s">
        <v>874</v>
      </c>
      <c r="BE20" s="21"/>
      <c r="BF20" s="21"/>
      <c r="BG20" s="21"/>
      <c r="BI20" s="21"/>
      <c r="BJ20" s="378" t="s">
        <v>875</v>
      </c>
      <c r="BK20" s="21"/>
      <c r="BL20" s="21"/>
    </row>
    <row r="21" spans="3:64" ht="14.25" customHeight="1">
      <c r="K21" s="383" t="s">
        <v>876</v>
      </c>
      <c r="L21" s="372">
        <v>5600</v>
      </c>
      <c r="M21" s="372">
        <v>6800</v>
      </c>
      <c r="N21" s="372">
        <v>12400</v>
      </c>
      <c r="O21" s="383" t="s">
        <v>876</v>
      </c>
      <c r="P21" s="372">
        <v>5600</v>
      </c>
      <c r="Q21" s="372">
        <v>6800</v>
      </c>
      <c r="R21" s="372">
        <v>12400</v>
      </c>
      <c r="V21" s="661"/>
      <c r="W21" s="661"/>
      <c r="X21" s="371" t="s">
        <v>877</v>
      </c>
      <c r="Y21" s="370"/>
      <c r="Z21" s="370">
        <v>1</v>
      </c>
      <c r="AA21" s="661"/>
      <c r="AB21" s="661"/>
      <c r="AE21" s="15" t="s">
        <v>878</v>
      </c>
      <c r="AF21" s="15" t="s">
        <v>879</v>
      </c>
      <c r="AG21" s="21">
        <v>1</v>
      </c>
      <c r="AH21" s="21"/>
      <c r="AK21" s="364" t="s">
        <v>722</v>
      </c>
      <c r="AL21" s="364" t="s">
        <v>723</v>
      </c>
      <c r="AM21" s="364" t="s">
        <v>724</v>
      </c>
      <c r="AN21" s="364" t="s">
        <v>725</v>
      </c>
      <c r="AQ21" s="386"/>
      <c r="AR21" s="21"/>
      <c r="AS21" s="392" t="s">
        <v>880</v>
      </c>
      <c r="AT21" s="380" t="s">
        <v>881</v>
      </c>
      <c r="AU21" s="21">
        <v>1</v>
      </c>
      <c r="AX21" s="375" t="s">
        <v>769</v>
      </c>
      <c r="AY21" s="140"/>
      <c r="AZ21" s="375" t="s">
        <v>882</v>
      </c>
      <c r="BA21" s="140"/>
      <c r="BC21" s="21"/>
      <c r="BD21" s="23"/>
      <c r="BE21" s="21"/>
      <c r="BF21" s="21"/>
      <c r="BG21" s="21"/>
      <c r="BI21" s="21"/>
      <c r="BJ21" s="22" t="s">
        <v>883</v>
      </c>
      <c r="BK21" s="21">
        <v>1</v>
      </c>
      <c r="BL21" s="21"/>
    </row>
    <row r="22" spans="3:64" ht="14.25" customHeight="1">
      <c r="K22" s="383" t="s">
        <v>884</v>
      </c>
      <c r="L22" s="372">
        <v>3600</v>
      </c>
      <c r="M22" s="372">
        <v>4700</v>
      </c>
      <c r="N22" s="372">
        <v>8300</v>
      </c>
      <c r="O22" s="383" t="s">
        <v>884</v>
      </c>
      <c r="P22" s="372">
        <v>3600</v>
      </c>
      <c r="Q22" s="372">
        <v>4700</v>
      </c>
      <c r="R22" s="372">
        <v>8300</v>
      </c>
      <c r="V22" s="661"/>
      <c r="W22" s="661"/>
      <c r="X22" s="371" t="s">
        <v>885</v>
      </c>
      <c r="Y22" s="370"/>
      <c r="Z22" s="370">
        <v>1</v>
      </c>
      <c r="AA22" s="661"/>
      <c r="AB22" s="661"/>
      <c r="AE22" s="15" t="s">
        <v>886</v>
      </c>
      <c r="AF22" s="15" t="s">
        <v>887</v>
      </c>
      <c r="AG22" s="21">
        <v>1</v>
      </c>
      <c r="AH22" s="21"/>
      <c r="AJ22" s="162">
        <v>1</v>
      </c>
      <c r="AK22" s="365">
        <v>1</v>
      </c>
      <c r="AL22" s="365" t="s">
        <v>888</v>
      </c>
      <c r="AM22" s="365" t="s">
        <v>889</v>
      </c>
      <c r="AN22" s="365" t="s">
        <v>890</v>
      </c>
      <c r="AO22" s="162">
        <v>1</v>
      </c>
      <c r="AQ22" s="387" t="s">
        <v>712</v>
      </c>
      <c r="AR22" s="21"/>
      <c r="AS22" s="662" t="s">
        <v>891</v>
      </c>
      <c r="AT22" s="385" t="s">
        <v>892</v>
      </c>
      <c r="AU22" s="21">
        <v>1</v>
      </c>
      <c r="AX22" s="375" t="s">
        <v>893</v>
      </c>
      <c r="AY22" s="140"/>
      <c r="AZ22" s="375" t="s">
        <v>769</v>
      </c>
      <c r="BA22" s="140"/>
      <c r="BC22" s="21">
        <v>1</v>
      </c>
      <c r="BD22" s="22" t="s">
        <v>894</v>
      </c>
      <c r="BE22" s="21"/>
      <c r="BF22" s="21"/>
      <c r="BG22" s="21"/>
      <c r="BI22" s="21"/>
      <c r="BJ22" s="378" t="s">
        <v>895</v>
      </c>
      <c r="BK22" s="21">
        <f>SUM(BK7:BK21)</f>
        <v>8</v>
      </c>
      <c r="BL22" s="21"/>
    </row>
    <row r="23" spans="3:64" ht="14.25" customHeight="1">
      <c r="C23" s="441" t="s">
        <v>896</v>
      </c>
      <c r="D23" s="442" t="s">
        <v>897</v>
      </c>
      <c r="E23" s="442" t="s">
        <v>728</v>
      </c>
      <c r="F23" s="443" t="s">
        <v>706</v>
      </c>
      <c r="K23" s="383" t="s">
        <v>898</v>
      </c>
      <c r="L23" s="372">
        <v>3300</v>
      </c>
      <c r="M23" s="372">
        <v>4800</v>
      </c>
      <c r="N23" s="372">
        <v>8100</v>
      </c>
      <c r="O23" s="383" t="s">
        <v>898</v>
      </c>
      <c r="P23" s="372">
        <v>3300</v>
      </c>
      <c r="Q23" s="372">
        <v>4800</v>
      </c>
      <c r="R23" s="372">
        <v>8100</v>
      </c>
      <c r="V23" s="661"/>
      <c r="W23" s="661"/>
      <c r="X23" s="371" t="s">
        <v>899</v>
      </c>
      <c r="Y23" s="370"/>
      <c r="Z23" s="370">
        <v>1</v>
      </c>
      <c r="AA23" s="370" t="s">
        <v>900</v>
      </c>
      <c r="AB23" s="370">
        <v>1</v>
      </c>
      <c r="AE23" s="15" t="s">
        <v>901</v>
      </c>
      <c r="AF23" s="15" t="s">
        <v>902</v>
      </c>
      <c r="AG23" s="21">
        <v>1</v>
      </c>
      <c r="AH23" s="21"/>
      <c r="AK23" s="365">
        <v>2</v>
      </c>
      <c r="AL23" s="365" t="s">
        <v>888</v>
      </c>
      <c r="AM23" s="365" t="s">
        <v>889</v>
      </c>
      <c r="AN23" s="365" t="s">
        <v>903</v>
      </c>
      <c r="AO23" s="162">
        <v>1</v>
      </c>
      <c r="AQ23" s="388" t="s">
        <v>904</v>
      </c>
      <c r="AR23" s="21"/>
      <c r="AS23" s="662"/>
      <c r="AT23" s="385" t="s">
        <v>712</v>
      </c>
      <c r="AU23" s="21"/>
      <c r="AX23" s="375" t="s">
        <v>905</v>
      </c>
      <c r="AY23" s="140"/>
      <c r="AZ23" s="140"/>
      <c r="BA23" s="140"/>
      <c r="BC23" s="21"/>
      <c r="BD23" s="22" t="s">
        <v>744</v>
      </c>
      <c r="BE23" s="21"/>
      <c r="BF23" s="21"/>
      <c r="BG23" s="21"/>
    </row>
    <row r="24" spans="3:64" ht="14.25" customHeight="1">
      <c r="C24" s="393" t="s">
        <v>906</v>
      </c>
      <c r="D24" s="394"/>
      <c r="E24" s="394"/>
      <c r="F24" s="395"/>
      <c r="K24" s="396" t="s">
        <v>306</v>
      </c>
      <c r="L24" s="397">
        <v>291200</v>
      </c>
      <c r="M24" s="397">
        <v>292200</v>
      </c>
      <c r="N24" s="397">
        <v>583400</v>
      </c>
      <c r="O24" s="21" t="s">
        <v>907</v>
      </c>
      <c r="P24" s="307">
        <f>SUM(P10:P23)</f>
        <v>212700</v>
      </c>
      <c r="Q24" s="307">
        <f t="shared" ref="Q24:R24" si="2">SUM(Q10:Q23)</f>
        <v>217600</v>
      </c>
      <c r="R24" s="307">
        <f t="shared" si="2"/>
        <v>430300</v>
      </c>
      <c r="V24" s="661"/>
      <c r="W24" s="661"/>
      <c r="X24" s="371" t="s">
        <v>775</v>
      </c>
      <c r="Y24" s="370"/>
      <c r="Z24" s="370">
        <v>1</v>
      </c>
      <c r="AA24" s="370" t="s">
        <v>775</v>
      </c>
      <c r="AB24" s="370">
        <v>3</v>
      </c>
      <c r="AE24" s="15" t="s">
        <v>908</v>
      </c>
      <c r="AF24" s="15" t="s">
        <v>909</v>
      </c>
      <c r="AG24" s="21">
        <v>1</v>
      </c>
      <c r="AH24" s="21"/>
      <c r="AK24" s="365">
        <v>3</v>
      </c>
      <c r="AL24" s="365" t="s">
        <v>910</v>
      </c>
      <c r="AM24" s="365" t="s">
        <v>889</v>
      </c>
      <c r="AN24" s="365" t="s">
        <v>911</v>
      </c>
      <c r="AO24" s="162">
        <v>1</v>
      </c>
      <c r="AQ24" s="390" t="s">
        <v>1495</v>
      </c>
      <c r="AR24" s="21"/>
      <c r="AS24" s="663" t="s">
        <v>912</v>
      </c>
      <c r="AT24" s="380" t="s">
        <v>913</v>
      </c>
      <c r="AU24" s="21">
        <v>1</v>
      </c>
      <c r="AX24" s="389" t="s">
        <v>801</v>
      </c>
      <c r="AY24" s="140"/>
      <c r="AZ24" s="381" t="s">
        <v>914</v>
      </c>
      <c r="BA24" s="140">
        <v>1</v>
      </c>
      <c r="BC24" s="21"/>
      <c r="BD24" s="22" t="s">
        <v>915</v>
      </c>
      <c r="BE24" s="21"/>
      <c r="BF24" s="21"/>
      <c r="BG24" s="21"/>
    </row>
    <row r="25" spans="3:64" ht="14.25" customHeight="1">
      <c r="C25" s="398" t="s">
        <v>916</v>
      </c>
      <c r="D25" s="252">
        <v>1</v>
      </c>
      <c r="E25" s="162" t="s">
        <v>889</v>
      </c>
      <c r="F25" s="399" t="s">
        <v>712</v>
      </c>
      <c r="V25" s="661"/>
      <c r="W25" s="661"/>
      <c r="X25" s="371" t="s">
        <v>894</v>
      </c>
      <c r="Y25" s="370"/>
      <c r="Z25" s="370">
        <v>1</v>
      </c>
      <c r="AA25" s="370" t="s">
        <v>796</v>
      </c>
      <c r="AB25" s="370">
        <v>6</v>
      </c>
      <c r="AE25" s="14" t="s">
        <v>917</v>
      </c>
      <c r="AF25" s="15"/>
      <c r="AG25" s="21"/>
      <c r="AH25" s="21"/>
      <c r="AK25" s="365">
        <v>4</v>
      </c>
      <c r="AL25" s="365" t="s">
        <v>918</v>
      </c>
      <c r="AM25" s="365" t="s">
        <v>919</v>
      </c>
      <c r="AN25" s="365" t="s">
        <v>920</v>
      </c>
      <c r="AO25" s="162">
        <v>1</v>
      </c>
      <c r="AQ25" s="390" t="s">
        <v>1491</v>
      </c>
      <c r="AR25" s="21"/>
      <c r="AS25" s="663"/>
      <c r="AT25" s="380" t="s">
        <v>712</v>
      </c>
      <c r="AU25" s="21"/>
      <c r="AX25" s="375"/>
      <c r="AY25" s="140"/>
      <c r="AZ25" s="375" t="s">
        <v>921</v>
      </c>
      <c r="BA25" s="140"/>
      <c r="BC25" s="21"/>
      <c r="BD25" s="22" t="s">
        <v>922</v>
      </c>
      <c r="BE25" s="21"/>
      <c r="BF25" s="21"/>
      <c r="BG25" s="21"/>
    </row>
    <row r="26" spans="3:64" ht="14.25" customHeight="1">
      <c r="C26" s="398" t="s">
        <v>923</v>
      </c>
      <c r="D26" s="252">
        <v>6</v>
      </c>
      <c r="E26" s="400" t="s">
        <v>924</v>
      </c>
      <c r="F26" s="399" t="s">
        <v>712</v>
      </c>
      <c r="V26" s="661"/>
      <c r="W26" s="661"/>
      <c r="X26" s="371"/>
      <c r="Y26" s="370"/>
      <c r="Z26" s="370"/>
      <c r="AA26" s="370" t="s">
        <v>785</v>
      </c>
      <c r="AB26" s="370">
        <v>2</v>
      </c>
      <c r="AE26" s="15" t="s">
        <v>925</v>
      </c>
      <c r="AF26" s="15" t="s">
        <v>926</v>
      </c>
      <c r="AG26" s="21">
        <v>1</v>
      </c>
      <c r="AH26" s="21"/>
      <c r="AK26" s="365">
        <v>5</v>
      </c>
      <c r="AL26" s="365" t="s">
        <v>927</v>
      </c>
      <c r="AM26" s="365" t="s">
        <v>928</v>
      </c>
      <c r="AN26" s="365" t="s">
        <v>929</v>
      </c>
      <c r="AO26" s="162">
        <v>1</v>
      </c>
      <c r="AQ26" s="23"/>
      <c r="AR26" s="21"/>
      <c r="AS26" s="662" t="s">
        <v>930</v>
      </c>
      <c r="AT26" s="385" t="s">
        <v>931</v>
      </c>
      <c r="AU26" s="21">
        <v>1</v>
      </c>
      <c r="AX26" s="375" t="s">
        <v>932</v>
      </c>
      <c r="AY26" s="140"/>
      <c r="AZ26" s="140"/>
      <c r="BA26" s="140"/>
      <c r="BC26" s="21"/>
      <c r="BD26" s="23" t="s">
        <v>933</v>
      </c>
      <c r="BE26" s="21"/>
      <c r="BF26" s="21"/>
      <c r="BG26" s="21"/>
    </row>
    <row r="27" spans="3:64" ht="14.25" customHeight="1">
      <c r="C27" s="401"/>
      <c r="E27" s="162" t="s">
        <v>934</v>
      </c>
      <c r="F27" s="399" t="s">
        <v>712</v>
      </c>
      <c r="V27" s="661"/>
      <c r="W27" s="661"/>
      <c r="X27" s="371"/>
      <c r="Y27" s="370"/>
      <c r="Z27" s="370"/>
      <c r="AA27" s="370" t="s">
        <v>935</v>
      </c>
      <c r="AB27" s="370">
        <v>1</v>
      </c>
      <c r="AE27" s="15" t="s">
        <v>936</v>
      </c>
      <c r="AF27" s="15" t="s">
        <v>937</v>
      </c>
      <c r="AG27" s="21">
        <v>1</v>
      </c>
      <c r="AH27" s="21"/>
      <c r="AK27" s="365">
        <v>6</v>
      </c>
      <c r="AL27" s="365" t="s">
        <v>938</v>
      </c>
      <c r="AM27" s="365" t="s">
        <v>939</v>
      </c>
      <c r="AN27" s="365" t="s">
        <v>940</v>
      </c>
      <c r="AO27" s="162">
        <v>1</v>
      </c>
      <c r="AQ27" s="373" t="s">
        <v>712</v>
      </c>
      <c r="AR27" s="21"/>
      <c r="AS27" s="662"/>
      <c r="AT27" s="385" t="s">
        <v>712</v>
      </c>
      <c r="AU27" s="21"/>
      <c r="AX27" s="375" t="s">
        <v>833</v>
      </c>
      <c r="AY27" s="140"/>
      <c r="AZ27" s="381" t="s">
        <v>914</v>
      </c>
      <c r="BA27" s="140">
        <v>1</v>
      </c>
      <c r="BC27" s="21"/>
      <c r="BD27" s="23" t="s">
        <v>941</v>
      </c>
      <c r="BE27" s="21"/>
      <c r="BF27" s="21"/>
      <c r="BG27" s="21"/>
    </row>
    <row r="28" spans="3:64" ht="14.25" customHeight="1">
      <c r="C28" s="401"/>
      <c r="E28" s="162" t="s">
        <v>942</v>
      </c>
      <c r="F28" s="399" t="s">
        <v>712</v>
      </c>
      <c r="V28" s="402"/>
      <c r="W28" s="370" t="s">
        <v>715</v>
      </c>
      <c r="X28" s="371" t="s">
        <v>712</v>
      </c>
      <c r="Y28" s="370"/>
      <c r="Z28" s="370">
        <v>4</v>
      </c>
      <c r="AA28" s="370"/>
      <c r="AB28" s="370"/>
      <c r="AE28" s="15" t="s">
        <v>943</v>
      </c>
      <c r="AF28" s="15" t="s">
        <v>944</v>
      </c>
      <c r="AG28" s="21">
        <v>1</v>
      </c>
      <c r="AH28" s="21"/>
      <c r="AK28" s="365">
        <v>12</v>
      </c>
      <c r="AL28" s="365" t="s">
        <v>945</v>
      </c>
      <c r="AM28" s="365" t="s">
        <v>946</v>
      </c>
      <c r="AN28" s="365" t="s">
        <v>947</v>
      </c>
      <c r="AO28" s="162">
        <v>1</v>
      </c>
      <c r="AQ28" s="388" t="s">
        <v>948</v>
      </c>
      <c r="AR28" s="21"/>
      <c r="AS28" s="379"/>
      <c r="AT28" s="380" t="s">
        <v>796</v>
      </c>
      <c r="AU28" s="21"/>
      <c r="AX28" s="389" t="s">
        <v>801</v>
      </c>
      <c r="AY28" s="140"/>
      <c r="AZ28" s="381" t="s">
        <v>949</v>
      </c>
      <c r="BA28" s="140"/>
      <c r="BC28" s="21"/>
      <c r="BD28" s="22" t="s">
        <v>950</v>
      </c>
      <c r="BE28" s="21"/>
      <c r="BF28" s="21"/>
      <c r="BG28" s="21"/>
    </row>
    <row r="29" spans="3:64" ht="14.25" customHeight="1">
      <c r="C29" s="401"/>
      <c r="E29" s="162" t="s">
        <v>951</v>
      </c>
      <c r="F29" s="399" t="s">
        <v>712</v>
      </c>
      <c r="V29" s="403"/>
      <c r="W29" s="370"/>
      <c r="X29" s="371" t="s">
        <v>775</v>
      </c>
      <c r="Y29" s="370"/>
      <c r="Z29" s="370">
        <v>1</v>
      </c>
      <c r="AA29" s="370"/>
      <c r="AB29" s="370">
        <v>1</v>
      </c>
      <c r="AE29" s="15" t="s">
        <v>952</v>
      </c>
      <c r="AF29" s="15" t="s">
        <v>953</v>
      </c>
      <c r="AG29" s="21">
        <v>1</v>
      </c>
      <c r="AH29" s="21"/>
      <c r="AK29" s="365">
        <v>13</v>
      </c>
      <c r="AL29" s="365" t="s">
        <v>954</v>
      </c>
      <c r="AM29" s="365" t="s">
        <v>955</v>
      </c>
      <c r="AN29" s="365" t="s">
        <v>956</v>
      </c>
      <c r="AO29" s="162">
        <v>1</v>
      </c>
      <c r="AQ29" s="390" t="s">
        <v>1496</v>
      </c>
      <c r="AR29" s="21"/>
      <c r="AS29" s="662" t="s">
        <v>957</v>
      </c>
      <c r="AT29" s="385" t="s">
        <v>958</v>
      </c>
      <c r="AU29" s="21">
        <v>1</v>
      </c>
      <c r="AX29" s="375"/>
      <c r="AY29" s="140"/>
      <c r="AZ29" s="375" t="s">
        <v>959</v>
      </c>
      <c r="BA29" s="140">
        <v>1</v>
      </c>
      <c r="BC29" s="21"/>
      <c r="BD29" s="23" t="s">
        <v>960</v>
      </c>
      <c r="BE29" s="21"/>
      <c r="BF29" s="21"/>
      <c r="BG29" s="21"/>
    </row>
    <row r="30" spans="3:64" ht="14.25" customHeight="1">
      <c r="C30" s="401"/>
      <c r="E30" s="162" t="s">
        <v>961</v>
      </c>
      <c r="F30" s="399" t="s">
        <v>785</v>
      </c>
      <c r="V30" s="370"/>
      <c r="W30" s="370"/>
      <c r="X30" s="371"/>
      <c r="Y30" s="370"/>
      <c r="Z30" s="370"/>
      <c r="AA30" s="370"/>
      <c r="AB30" s="370"/>
      <c r="AD30" s="162">
        <v>1</v>
      </c>
      <c r="AE30" s="15" t="s">
        <v>962</v>
      </c>
      <c r="AF30" s="15" t="s">
        <v>963</v>
      </c>
      <c r="AG30" s="21">
        <v>1</v>
      </c>
      <c r="AH30" s="21"/>
      <c r="AJ30" s="162">
        <v>1</v>
      </c>
      <c r="AK30" s="365">
        <v>14</v>
      </c>
      <c r="AL30" s="365" t="s">
        <v>964</v>
      </c>
      <c r="AM30" s="365" t="s">
        <v>965</v>
      </c>
      <c r="AN30" s="365" t="s">
        <v>966</v>
      </c>
      <c r="AO30" s="162">
        <v>1</v>
      </c>
      <c r="AQ30" s="390" t="s">
        <v>1491</v>
      </c>
      <c r="AR30" s="21"/>
      <c r="AS30" s="662"/>
      <c r="AT30" s="385" t="s">
        <v>712</v>
      </c>
      <c r="AU30" s="21"/>
      <c r="AX30" s="375" t="s">
        <v>932</v>
      </c>
      <c r="AY30" s="140"/>
      <c r="AZ30" s="375" t="s">
        <v>769</v>
      </c>
      <c r="BA30" s="140"/>
      <c r="BC30" s="21"/>
      <c r="BD30" s="23" t="s">
        <v>967</v>
      </c>
      <c r="BE30" s="21"/>
      <c r="BF30" s="21"/>
      <c r="BG30" s="21"/>
    </row>
    <row r="31" spans="3:64" ht="14.25" customHeight="1">
      <c r="C31" s="401"/>
      <c r="E31" s="162" t="s">
        <v>968</v>
      </c>
      <c r="F31" s="399" t="s">
        <v>775</v>
      </c>
      <c r="J31" s="193"/>
      <c r="S31" s="404"/>
      <c r="T31" s="404"/>
      <c r="U31" s="404"/>
      <c r="V31" s="370"/>
      <c r="W31" s="370"/>
      <c r="X31" s="371"/>
      <c r="Y31" s="370"/>
      <c r="Z31" s="370"/>
      <c r="AA31" s="370"/>
      <c r="AB31" s="370"/>
      <c r="AE31" s="14" t="s">
        <v>796</v>
      </c>
      <c r="AF31" s="15"/>
      <c r="AG31" s="21"/>
      <c r="AH31" s="21"/>
      <c r="AK31" s="365">
        <v>15</v>
      </c>
      <c r="AL31" s="365" t="s">
        <v>969</v>
      </c>
      <c r="AM31" s="365" t="s">
        <v>970</v>
      </c>
      <c r="AN31" s="365" t="s">
        <v>971</v>
      </c>
      <c r="AO31" s="162">
        <v>1</v>
      </c>
      <c r="AQ31" s="21"/>
      <c r="AR31" s="21"/>
      <c r="AS31" s="379" t="s">
        <v>972</v>
      </c>
      <c r="AT31" s="380" t="s">
        <v>973</v>
      </c>
      <c r="AU31" s="21">
        <v>1</v>
      </c>
      <c r="AX31" s="375" t="s">
        <v>833</v>
      </c>
      <c r="AY31" s="140"/>
      <c r="AZ31" s="140"/>
      <c r="BA31" s="140"/>
      <c r="BC31" s="21"/>
      <c r="BD31" s="23" t="s">
        <v>974</v>
      </c>
      <c r="BE31" s="21"/>
      <c r="BF31" s="21"/>
      <c r="BG31" s="21"/>
    </row>
    <row r="32" spans="3:64" ht="14.25" customHeight="1">
      <c r="C32" s="398" t="s">
        <v>975</v>
      </c>
      <c r="D32" s="162">
        <v>43</v>
      </c>
      <c r="F32" s="405" t="s">
        <v>976</v>
      </c>
      <c r="H32" s="406">
        <v>2019</v>
      </c>
      <c r="I32" s="407"/>
      <c r="J32" s="408"/>
      <c r="K32" s="409"/>
      <c r="L32" s="410"/>
      <c r="M32" s="411"/>
      <c r="N32" s="411"/>
      <c r="O32" s="404"/>
      <c r="P32" s="404"/>
      <c r="Q32" s="404"/>
      <c r="R32" s="404"/>
      <c r="S32" s="404"/>
      <c r="T32" s="404"/>
      <c r="U32" s="404"/>
      <c r="V32" s="652"/>
      <c r="W32" s="652" t="s">
        <v>708</v>
      </c>
      <c r="X32" s="653" t="s">
        <v>782</v>
      </c>
      <c r="Y32" s="652">
        <v>1</v>
      </c>
      <c r="Z32" s="652">
        <v>1</v>
      </c>
      <c r="AA32" s="652"/>
      <c r="AB32" s="652">
        <v>8</v>
      </c>
      <c r="AE32" s="15" t="s">
        <v>977</v>
      </c>
      <c r="AF32" s="15" t="s">
        <v>978</v>
      </c>
      <c r="AG32" s="21">
        <v>1</v>
      </c>
      <c r="AH32" s="21"/>
      <c r="AJ32" s="162">
        <v>1</v>
      </c>
      <c r="AK32" s="365">
        <v>16</v>
      </c>
      <c r="AL32" s="365" t="s">
        <v>979</v>
      </c>
      <c r="AM32" s="365" t="s">
        <v>980</v>
      </c>
      <c r="AN32" s="365" t="s">
        <v>981</v>
      </c>
      <c r="AO32" s="162">
        <v>1</v>
      </c>
      <c r="AQ32" s="21"/>
      <c r="AR32" s="21"/>
      <c r="AS32" s="662" t="s">
        <v>972</v>
      </c>
      <c r="AT32" s="385" t="s">
        <v>982</v>
      </c>
      <c r="AU32" s="21">
        <v>1</v>
      </c>
      <c r="AX32" s="375"/>
      <c r="AY32" s="140"/>
      <c r="AZ32" s="381" t="s">
        <v>949</v>
      </c>
      <c r="BA32" s="140">
        <v>1</v>
      </c>
      <c r="BC32" s="21"/>
      <c r="BD32" s="23" t="s">
        <v>983</v>
      </c>
      <c r="BE32" s="21"/>
      <c r="BF32" s="21"/>
      <c r="BG32" s="21"/>
    </row>
    <row r="33" spans="3:59" ht="14.25" customHeight="1">
      <c r="C33" s="398"/>
      <c r="D33" s="412" t="s">
        <v>984</v>
      </c>
      <c r="F33" s="399"/>
      <c r="H33" s="413" t="s">
        <v>1488</v>
      </c>
      <c r="I33" s="369" t="s">
        <v>304</v>
      </c>
      <c r="J33" s="369" t="s">
        <v>305</v>
      </c>
      <c r="K33" s="414" t="s">
        <v>306</v>
      </c>
      <c r="L33" s="369" t="s">
        <v>985</v>
      </c>
      <c r="M33" s="415"/>
      <c r="N33" s="665" t="s">
        <v>702</v>
      </c>
      <c r="O33" s="665"/>
      <c r="P33" s="665"/>
      <c r="Q33" s="665"/>
      <c r="R33" s="665"/>
      <c r="S33" s="665"/>
      <c r="T33" s="665"/>
      <c r="U33" s="416"/>
      <c r="V33" s="652"/>
      <c r="W33" s="652"/>
      <c r="X33" s="653"/>
      <c r="Y33" s="652"/>
      <c r="Z33" s="652"/>
      <c r="AA33" s="652"/>
      <c r="AB33" s="652"/>
      <c r="AE33" s="15" t="s">
        <v>986</v>
      </c>
      <c r="AF33" s="15" t="s">
        <v>987</v>
      </c>
      <c r="AG33" s="21">
        <v>1</v>
      </c>
      <c r="AH33" s="21"/>
      <c r="AK33" s="365">
        <v>17</v>
      </c>
      <c r="AL33" s="365" t="s">
        <v>979</v>
      </c>
      <c r="AM33" s="365" t="s">
        <v>980</v>
      </c>
      <c r="AN33" s="365" t="s">
        <v>988</v>
      </c>
      <c r="AO33" s="162">
        <v>1</v>
      </c>
      <c r="AQ33" s="21"/>
      <c r="AR33" s="21"/>
      <c r="AS33" s="662"/>
      <c r="AT33" s="385" t="s">
        <v>712</v>
      </c>
      <c r="AU33" s="21"/>
      <c r="AX33" s="381" t="s">
        <v>1497</v>
      </c>
      <c r="AY33" s="140"/>
      <c r="AZ33" s="375" t="s">
        <v>989</v>
      </c>
      <c r="BA33" s="140"/>
      <c r="BC33" s="21"/>
      <c r="BD33" s="23"/>
      <c r="BE33" s="21"/>
      <c r="BF33" s="21"/>
      <c r="BG33" s="21"/>
    </row>
    <row r="34" spans="3:59" ht="14.25" customHeight="1">
      <c r="C34" s="393" t="s">
        <v>746</v>
      </c>
      <c r="D34" s="394"/>
      <c r="E34" s="394"/>
      <c r="F34" s="395"/>
      <c r="H34" s="151" t="s">
        <v>718</v>
      </c>
      <c r="I34" s="417">
        <v>27600</v>
      </c>
      <c r="J34" s="417">
        <v>26800</v>
      </c>
      <c r="K34" s="418">
        <v>54400</v>
      </c>
      <c r="L34" s="417"/>
      <c r="M34" s="415"/>
      <c r="N34" s="666" t="s">
        <v>705</v>
      </c>
      <c r="O34" s="666" t="s">
        <v>708</v>
      </c>
      <c r="P34" s="666" t="s">
        <v>704</v>
      </c>
      <c r="Q34" s="440" t="s">
        <v>705</v>
      </c>
      <c r="R34" s="440" t="s">
        <v>709</v>
      </c>
      <c r="S34" s="440" t="s">
        <v>705</v>
      </c>
      <c r="T34" s="666" t="s">
        <v>710</v>
      </c>
      <c r="U34" s="416"/>
      <c r="V34" s="370"/>
      <c r="W34" s="370" t="s">
        <v>715</v>
      </c>
      <c r="X34" s="371" t="s">
        <v>990</v>
      </c>
      <c r="Y34" s="370"/>
      <c r="Z34" s="370">
        <v>1</v>
      </c>
      <c r="AA34" s="370" t="s">
        <v>775</v>
      </c>
      <c r="AB34" s="370">
        <v>1</v>
      </c>
      <c r="AE34" s="15" t="s">
        <v>991</v>
      </c>
      <c r="AF34" s="15" t="s">
        <v>992</v>
      </c>
      <c r="AG34" s="21">
        <v>1</v>
      </c>
      <c r="AH34" s="21"/>
      <c r="AK34" s="365">
        <v>18</v>
      </c>
      <c r="AL34" s="365" t="s">
        <v>993</v>
      </c>
      <c r="AM34" s="365" t="s">
        <v>994</v>
      </c>
      <c r="AN34" s="365" t="s">
        <v>995</v>
      </c>
      <c r="AO34" s="162">
        <v>1</v>
      </c>
      <c r="AQ34" s="21"/>
      <c r="AR34" s="21"/>
      <c r="AS34" s="663" t="s">
        <v>972</v>
      </c>
      <c r="AT34" s="380" t="s">
        <v>996</v>
      </c>
      <c r="AU34" s="21">
        <v>1</v>
      </c>
      <c r="AX34" s="375" t="s">
        <v>997</v>
      </c>
      <c r="AY34" s="140"/>
      <c r="AZ34" s="375" t="s">
        <v>712</v>
      </c>
      <c r="BA34" s="140"/>
      <c r="BC34" s="21">
        <v>1</v>
      </c>
      <c r="BD34" s="22" t="s">
        <v>998</v>
      </c>
      <c r="BE34" s="21"/>
      <c r="BF34" s="21"/>
      <c r="BG34" s="21"/>
    </row>
    <row r="35" spans="3:59" ht="14.25" customHeight="1">
      <c r="C35" s="398" t="s">
        <v>916</v>
      </c>
      <c r="D35" s="252">
        <v>1</v>
      </c>
      <c r="E35" s="162" t="s">
        <v>721</v>
      </c>
      <c r="F35" s="399" t="s">
        <v>712</v>
      </c>
      <c r="H35" s="419" t="s">
        <v>732</v>
      </c>
      <c r="I35" s="417">
        <v>26300</v>
      </c>
      <c r="J35" s="417">
        <v>25000</v>
      </c>
      <c r="K35" s="418">
        <v>51300</v>
      </c>
      <c r="L35" s="417"/>
      <c r="M35" s="347"/>
      <c r="N35" s="666"/>
      <c r="O35" s="666"/>
      <c r="P35" s="666"/>
      <c r="Q35" s="440" t="s">
        <v>715</v>
      </c>
      <c r="R35" s="440" t="s">
        <v>716</v>
      </c>
      <c r="S35" s="440" t="s">
        <v>717</v>
      </c>
      <c r="T35" s="666"/>
      <c r="U35" s="416"/>
      <c r="V35" s="370"/>
      <c r="W35" s="370"/>
      <c r="X35" s="371"/>
      <c r="Y35" s="370"/>
      <c r="Z35" s="370"/>
      <c r="AA35" s="370" t="s">
        <v>712</v>
      </c>
      <c r="AB35" s="370">
        <v>4</v>
      </c>
      <c r="AE35" s="15" t="s">
        <v>999</v>
      </c>
      <c r="AF35" s="15" t="s">
        <v>1000</v>
      </c>
      <c r="AG35" s="21">
        <v>1</v>
      </c>
      <c r="AH35" s="21"/>
      <c r="AJ35" s="162">
        <v>1</v>
      </c>
      <c r="AK35" s="365">
        <v>19</v>
      </c>
      <c r="AL35" s="365" t="s">
        <v>1001</v>
      </c>
      <c r="AM35" s="365" t="s">
        <v>1002</v>
      </c>
      <c r="AN35" s="365" t="s">
        <v>1003</v>
      </c>
      <c r="AO35" s="162">
        <v>1</v>
      </c>
      <c r="AQ35" s="21"/>
      <c r="AR35" s="21"/>
      <c r="AS35" s="663"/>
      <c r="AT35" s="380" t="s">
        <v>712</v>
      </c>
      <c r="AU35" s="21"/>
      <c r="AX35" s="375" t="s">
        <v>1004</v>
      </c>
      <c r="AY35" s="140"/>
      <c r="AZ35" s="140"/>
      <c r="BA35" s="140"/>
      <c r="BC35" s="21"/>
      <c r="BD35" s="22" t="s">
        <v>1005</v>
      </c>
      <c r="BE35" s="21"/>
      <c r="BF35" s="21"/>
      <c r="BG35" s="21"/>
    </row>
    <row r="36" spans="3:59" ht="14.25" customHeight="1">
      <c r="C36" s="398" t="s">
        <v>923</v>
      </c>
      <c r="D36" s="252">
        <v>7</v>
      </c>
      <c r="E36" s="162" t="s">
        <v>963</v>
      </c>
      <c r="F36" s="399" t="s">
        <v>712</v>
      </c>
      <c r="H36" s="419" t="s">
        <v>748</v>
      </c>
      <c r="I36" s="417">
        <v>25500</v>
      </c>
      <c r="J36" s="417">
        <v>24100</v>
      </c>
      <c r="K36" s="418">
        <v>49600</v>
      </c>
      <c r="L36" s="417"/>
      <c r="M36" s="420"/>
      <c r="N36" s="155">
        <v>1</v>
      </c>
      <c r="O36" s="186" t="s">
        <v>711</v>
      </c>
      <c r="P36" s="281">
        <v>1</v>
      </c>
      <c r="Q36" s="281">
        <v>6</v>
      </c>
      <c r="R36" s="281">
        <f>Q36+P36</f>
        <v>7</v>
      </c>
      <c r="S36" s="421" t="s">
        <v>1006</v>
      </c>
      <c r="T36" s="376" t="s">
        <v>731</v>
      </c>
      <c r="U36" s="416"/>
      <c r="V36" s="370"/>
      <c r="W36" s="370"/>
      <c r="X36" s="371"/>
      <c r="Y36" s="370"/>
      <c r="Z36" s="370"/>
      <c r="AA36" s="370" t="s">
        <v>785</v>
      </c>
      <c r="AB36" s="370">
        <v>2</v>
      </c>
      <c r="AD36" s="162">
        <v>1</v>
      </c>
      <c r="AE36" s="15" t="s">
        <v>1007</v>
      </c>
      <c r="AF36" s="15" t="s">
        <v>1008</v>
      </c>
      <c r="AG36" s="21">
        <v>1</v>
      </c>
      <c r="AH36" s="21"/>
      <c r="AK36" s="365">
        <v>20</v>
      </c>
      <c r="AL36" s="365" t="s">
        <v>1009</v>
      </c>
      <c r="AM36" s="365" t="s">
        <v>1010</v>
      </c>
      <c r="AN36" s="365" t="s">
        <v>1011</v>
      </c>
      <c r="AO36" s="162">
        <v>1</v>
      </c>
      <c r="AQ36" s="21"/>
      <c r="AR36" s="21"/>
      <c r="AS36" s="384" t="s">
        <v>1012</v>
      </c>
      <c r="AT36" s="385" t="s">
        <v>1013</v>
      </c>
      <c r="AU36" s="21">
        <v>1</v>
      </c>
      <c r="AX36" s="375" t="s">
        <v>1014</v>
      </c>
      <c r="AY36" s="140"/>
      <c r="AZ36" s="381" t="s">
        <v>1015</v>
      </c>
      <c r="BA36" s="140">
        <v>1</v>
      </c>
      <c r="BC36" s="21"/>
      <c r="BD36" s="23" t="s">
        <v>1016</v>
      </c>
      <c r="BE36" s="21"/>
      <c r="BF36" s="21"/>
      <c r="BG36" s="21"/>
    </row>
    <row r="37" spans="3:59" ht="39" customHeight="1">
      <c r="C37" s="398"/>
      <c r="E37" s="162" t="s">
        <v>1017</v>
      </c>
      <c r="F37" s="399" t="s">
        <v>712</v>
      </c>
      <c r="H37" s="422" t="s">
        <v>454</v>
      </c>
      <c r="I37" s="417">
        <v>25000</v>
      </c>
      <c r="J37" s="417">
        <v>23700</v>
      </c>
      <c r="K37" s="418">
        <v>48700</v>
      </c>
      <c r="L37" s="417">
        <f>K37</f>
        <v>48700</v>
      </c>
      <c r="M37" s="420"/>
      <c r="N37" s="74">
        <v>2</v>
      </c>
      <c r="O37" s="423" t="s">
        <v>746</v>
      </c>
      <c r="P37" s="281">
        <v>1</v>
      </c>
      <c r="Q37" s="281">
        <v>7</v>
      </c>
      <c r="R37" s="281">
        <f t="shared" ref="R37:R45" si="3">Q37+P37</f>
        <v>8</v>
      </c>
      <c r="S37" s="421" t="s">
        <v>1006</v>
      </c>
      <c r="T37" s="376" t="s">
        <v>747</v>
      </c>
      <c r="U37" s="416"/>
      <c r="V37" s="370"/>
      <c r="W37" s="370"/>
      <c r="X37" s="371"/>
      <c r="Y37" s="370"/>
      <c r="Z37" s="370"/>
      <c r="AA37" s="370" t="s">
        <v>796</v>
      </c>
      <c r="AB37" s="370">
        <v>1</v>
      </c>
      <c r="AE37" s="15" t="s">
        <v>1018</v>
      </c>
      <c r="AF37" s="15" t="s">
        <v>1019</v>
      </c>
      <c r="AG37" s="21">
        <v>1</v>
      </c>
      <c r="AH37" s="21"/>
      <c r="AK37" s="365">
        <v>21</v>
      </c>
      <c r="AL37" s="365" t="s">
        <v>1020</v>
      </c>
      <c r="AM37" s="365" t="s">
        <v>959</v>
      </c>
      <c r="AN37" s="365" t="s">
        <v>1021</v>
      </c>
      <c r="AO37" s="162">
        <v>1</v>
      </c>
      <c r="AQ37" s="21"/>
      <c r="AR37" s="21"/>
      <c r="AS37" s="424" t="s">
        <v>880</v>
      </c>
      <c r="AT37" s="385" t="s">
        <v>712</v>
      </c>
      <c r="AU37" s="21"/>
      <c r="AX37" s="375" t="s">
        <v>1022</v>
      </c>
      <c r="AY37" s="140"/>
      <c r="AZ37" s="375" t="s">
        <v>1023</v>
      </c>
      <c r="BA37" s="140"/>
      <c r="BC37" s="21"/>
      <c r="BD37" s="23" t="s">
        <v>1024</v>
      </c>
      <c r="BE37" s="21"/>
      <c r="BF37" s="21"/>
      <c r="BG37" s="21"/>
    </row>
    <row r="38" spans="3:59" ht="14.25" customHeight="1">
      <c r="C38" s="398"/>
      <c r="E38" s="162" t="s">
        <v>1025</v>
      </c>
      <c r="F38" s="399" t="s">
        <v>712</v>
      </c>
      <c r="H38" s="422" t="s">
        <v>455</v>
      </c>
      <c r="I38" s="417">
        <v>24100</v>
      </c>
      <c r="J38" s="417">
        <v>23300</v>
      </c>
      <c r="K38" s="418">
        <v>47400</v>
      </c>
      <c r="L38" s="417">
        <f t="shared" ref="L38:L50" si="4">K38</f>
        <v>47400</v>
      </c>
      <c r="M38" s="420"/>
      <c r="N38" s="74">
        <v>3</v>
      </c>
      <c r="O38" s="186" t="s">
        <v>759</v>
      </c>
      <c r="P38" s="281">
        <v>1</v>
      </c>
      <c r="Q38" s="281">
        <v>5</v>
      </c>
      <c r="R38" s="281">
        <f t="shared" si="3"/>
        <v>6</v>
      </c>
      <c r="S38" s="281">
        <v>20</v>
      </c>
      <c r="T38" s="376" t="s">
        <v>760</v>
      </c>
      <c r="U38" s="416"/>
      <c r="V38" s="370"/>
      <c r="W38" s="370"/>
      <c r="X38" s="371"/>
      <c r="Y38" s="370"/>
      <c r="Z38" s="370"/>
      <c r="AA38" s="370"/>
      <c r="AB38" s="370"/>
      <c r="AE38" s="14" t="s">
        <v>935</v>
      </c>
      <c r="AF38" s="15"/>
      <c r="AG38" s="21"/>
      <c r="AH38" s="21"/>
      <c r="AJ38" s="162">
        <v>1</v>
      </c>
      <c r="AK38" s="365">
        <v>22</v>
      </c>
      <c r="AL38" s="365" t="s">
        <v>1026</v>
      </c>
      <c r="AM38" s="365" t="s">
        <v>1027</v>
      </c>
      <c r="AN38" s="365" t="s">
        <v>1028</v>
      </c>
      <c r="AO38" s="162">
        <v>1</v>
      </c>
      <c r="AQ38" s="21"/>
      <c r="AR38" s="21"/>
      <c r="AS38" s="379" t="s">
        <v>972</v>
      </c>
      <c r="AT38" s="380" t="s">
        <v>1029</v>
      </c>
      <c r="AU38" s="21">
        <v>1</v>
      </c>
      <c r="AX38" s="389" t="s">
        <v>801</v>
      </c>
      <c r="AY38" s="140"/>
      <c r="AZ38" s="375" t="s">
        <v>712</v>
      </c>
      <c r="BA38" s="140"/>
      <c r="BC38" s="21">
        <v>1</v>
      </c>
      <c r="BD38" s="23" t="s">
        <v>1030</v>
      </c>
      <c r="BE38" s="21"/>
      <c r="BF38" s="21"/>
      <c r="BG38" s="21"/>
    </row>
    <row r="39" spans="3:59" ht="14.25" customHeight="1">
      <c r="C39" s="398"/>
      <c r="E39" s="162" t="s">
        <v>1031</v>
      </c>
      <c r="F39" s="399" t="s">
        <v>712</v>
      </c>
      <c r="H39" s="422" t="s">
        <v>456</v>
      </c>
      <c r="I39" s="417">
        <v>23200</v>
      </c>
      <c r="J39" s="417">
        <v>22900</v>
      </c>
      <c r="K39" s="418">
        <v>46100</v>
      </c>
      <c r="L39" s="417">
        <f t="shared" si="4"/>
        <v>46100</v>
      </c>
      <c r="M39" s="420"/>
      <c r="N39" s="74">
        <v>4</v>
      </c>
      <c r="O39" s="186" t="s">
        <v>742</v>
      </c>
      <c r="P39" s="281">
        <v>1</v>
      </c>
      <c r="Q39" s="281">
        <v>4</v>
      </c>
      <c r="R39" s="281">
        <f t="shared" si="3"/>
        <v>5</v>
      </c>
      <c r="S39" s="421" t="s">
        <v>1006</v>
      </c>
      <c r="T39" s="376" t="s">
        <v>773</v>
      </c>
      <c r="U39" s="416"/>
      <c r="V39" s="370"/>
      <c r="W39" s="370"/>
      <c r="X39" s="371" t="s">
        <v>1032</v>
      </c>
      <c r="Y39" s="370"/>
      <c r="Z39" s="370"/>
      <c r="AA39" s="370"/>
      <c r="AB39" s="370"/>
      <c r="AE39" s="15" t="s">
        <v>1033</v>
      </c>
      <c r="AF39" s="15" t="s">
        <v>1033</v>
      </c>
      <c r="AG39" s="21">
        <v>1</v>
      </c>
      <c r="AH39" s="21"/>
      <c r="AK39" s="365">
        <v>23</v>
      </c>
      <c r="AL39" s="365" t="s">
        <v>1034</v>
      </c>
      <c r="AM39" s="365" t="s">
        <v>1035</v>
      </c>
      <c r="AN39" s="365" t="s">
        <v>1036</v>
      </c>
      <c r="AO39" s="162">
        <v>1</v>
      </c>
      <c r="AQ39" s="21"/>
      <c r="AR39" s="21"/>
      <c r="AS39" s="384" t="s">
        <v>1037</v>
      </c>
      <c r="AT39" s="385" t="s">
        <v>1038</v>
      </c>
      <c r="AU39" s="21">
        <v>1</v>
      </c>
      <c r="AX39" s="375"/>
      <c r="AY39" s="140"/>
      <c r="AZ39" s="140"/>
      <c r="BA39" s="140"/>
      <c r="BC39" s="21"/>
      <c r="BD39" s="22" t="s">
        <v>744</v>
      </c>
      <c r="BE39" s="21"/>
      <c r="BF39" s="21"/>
      <c r="BG39" s="21"/>
    </row>
    <row r="40" spans="3:59" ht="14.25" customHeight="1">
      <c r="C40" s="398"/>
      <c r="E40" s="162" t="s">
        <v>1008</v>
      </c>
      <c r="F40" s="399" t="s">
        <v>796</v>
      </c>
      <c r="H40" s="422" t="s">
        <v>457</v>
      </c>
      <c r="I40" s="417">
        <v>22100</v>
      </c>
      <c r="J40" s="417">
        <v>22000</v>
      </c>
      <c r="K40" s="418">
        <v>44100</v>
      </c>
      <c r="L40" s="417">
        <f t="shared" si="4"/>
        <v>44100</v>
      </c>
      <c r="M40" s="420"/>
      <c r="N40" s="74">
        <v>5</v>
      </c>
      <c r="O40" s="186" t="s">
        <v>782</v>
      </c>
      <c r="P40" s="281">
        <v>1</v>
      </c>
      <c r="Q40" s="281">
        <v>1</v>
      </c>
      <c r="R40" s="281">
        <f t="shared" si="3"/>
        <v>2</v>
      </c>
      <c r="S40" s="421" t="s">
        <v>1006</v>
      </c>
      <c r="T40" s="376" t="s">
        <v>783</v>
      </c>
      <c r="U40" s="416"/>
      <c r="V40" s="370"/>
      <c r="W40" s="370"/>
      <c r="X40" s="371"/>
      <c r="Y40" s="370"/>
      <c r="Z40" s="370"/>
      <c r="AA40" s="370"/>
      <c r="AB40" s="370"/>
      <c r="AE40" s="14" t="s">
        <v>785</v>
      </c>
      <c r="AF40" s="15"/>
      <c r="AG40" s="21"/>
      <c r="AH40" s="21"/>
      <c r="AK40" s="365">
        <v>24</v>
      </c>
      <c r="AL40" s="365" t="s">
        <v>1039</v>
      </c>
      <c r="AM40" s="365" t="s">
        <v>1040</v>
      </c>
      <c r="AN40" s="365" t="s">
        <v>1041</v>
      </c>
      <c r="AO40" s="162">
        <v>1</v>
      </c>
      <c r="AQ40" s="21"/>
      <c r="AR40" s="21"/>
      <c r="AS40" s="384" t="s">
        <v>1042</v>
      </c>
      <c r="AT40" s="385" t="s">
        <v>712</v>
      </c>
      <c r="AU40" s="21"/>
      <c r="AX40" s="375" t="s">
        <v>1043</v>
      </c>
      <c r="AY40" s="140"/>
      <c r="AZ40" s="381" t="s">
        <v>1044</v>
      </c>
      <c r="BA40" s="140">
        <v>1</v>
      </c>
      <c r="BC40" s="21"/>
      <c r="BD40" s="22" t="s">
        <v>1045</v>
      </c>
      <c r="BE40" s="21"/>
      <c r="BF40" s="21"/>
      <c r="BG40" s="21"/>
    </row>
    <row r="41" spans="3:59" ht="14.25" customHeight="1">
      <c r="C41" s="398"/>
      <c r="E41" s="162" t="s">
        <v>1046</v>
      </c>
      <c r="F41" s="399" t="s">
        <v>775</v>
      </c>
      <c r="H41" s="422" t="s">
        <v>458</v>
      </c>
      <c r="I41" s="417">
        <v>21100</v>
      </c>
      <c r="J41" s="417">
        <v>21000</v>
      </c>
      <c r="K41" s="418">
        <v>42100</v>
      </c>
      <c r="L41" s="417">
        <f t="shared" si="4"/>
        <v>42100</v>
      </c>
      <c r="M41" s="420"/>
      <c r="N41" s="74">
        <v>6</v>
      </c>
      <c r="O41" s="186" t="s">
        <v>794</v>
      </c>
      <c r="P41" s="281">
        <v>1</v>
      </c>
      <c r="Q41" s="281">
        <v>3</v>
      </c>
      <c r="R41" s="281">
        <f t="shared" si="3"/>
        <v>4</v>
      </c>
      <c r="S41" s="421" t="s">
        <v>1006</v>
      </c>
      <c r="T41" s="186" t="s">
        <v>795</v>
      </c>
      <c r="U41" s="416"/>
      <c r="V41" s="370"/>
      <c r="W41" s="370" t="s">
        <v>1047</v>
      </c>
      <c r="X41" s="371" t="s">
        <v>1048</v>
      </c>
      <c r="Y41" s="370"/>
      <c r="Z41" s="370"/>
      <c r="AA41" s="370"/>
      <c r="AB41" s="370"/>
      <c r="AE41" s="15" t="s">
        <v>1049</v>
      </c>
      <c r="AF41" s="15" t="s">
        <v>1050</v>
      </c>
      <c r="AG41" s="21">
        <v>1</v>
      </c>
      <c r="AH41" s="21"/>
      <c r="AK41" s="365">
        <v>25</v>
      </c>
      <c r="AL41" s="365" t="s">
        <v>1051</v>
      </c>
      <c r="AM41" s="365" t="s">
        <v>1052</v>
      </c>
      <c r="AN41" s="365" t="s">
        <v>1053</v>
      </c>
      <c r="AO41" s="162">
        <v>1</v>
      </c>
      <c r="AQ41" s="21"/>
      <c r="AR41" s="21"/>
      <c r="AS41" s="384" t="s">
        <v>1054</v>
      </c>
      <c r="AT41" s="425"/>
      <c r="AU41" s="21"/>
      <c r="AX41" s="375" t="s">
        <v>1055</v>
      </c>
      <c r="AY41" s="140"/>
      <c r="AZ41" s="375" t="s">
        <v>1056</v>
      </c>
      <c r="BA41" s="140"/>
      <c r="BC41" s="21"/>
      <c r="BD41" s="22" t="s">
        <v>1057</v>
      </c>
      <c r="BE41" s="21"/>
      <c r="BF41" s="21"/>
      <c r="BG41" s="21"/>
    </row>
    <row r="42" spans="3:59" ht="14.25" customHeight="1">
      <c r="C42" s="398"/>
      <c r="E42" s="162" t="s">
        <v>1058</v>
      </c>
      <c r="F42" s="399" t="s">
        <v>900</v>
      </c>
      <c r="H42" s="422" t="s">
        <v>459</v>
      </c>
      <c r="I42" s="417">
        <v>19800</v>
      </c>
      <c r="J42" s="417">
        <v>19700</v>
      </c>
      <c r="K42" s="418">
        <v>39500</v>
      </c>
      <c r="L42" s="417">
        <f t="shared" si="4"/>
        <v>39500</v>
      </c>
      <c r="M42" s="420"/>
      <c r="N42" s="74">
        <v>5</v>
      </c>
      <c r="O42" s="186" t="s">
        <v>804</v>
      </c>
      <c r="P42" s="281">
        <v>1</v>
      </c>
      <c r="Q42" s="281">
        <v>9</v>
      </c>
      <c r="R42" s="281">
        <f t="shared" si="3"/>
        <v>10</v>
      </c>
      <c r="S42" s="421"/>
      <c r="T42" s="186" t="s">
        <v>805</v>
      </c>
      <c r="U42" s="416"/>
      <c r="V42" s="370"/>
      <c r="W42" s="370"/>
      <c r="X42" s="371"/>
      <c r="Y42" s="370"/>
      <c r="Z42" s="370"/>
      <c r="AA42" s="370"/>
      <c r="AB42" s="370"/>
      <c r="AE42" s="15" t="s">
        <v>1059</v>
      </c>
      <c r="AF42" s="15" t="s">
        <v>1060</v>
      </c>
      <c r="AG42" s="21">
        <v>1</v>
      </c>
      <c r="AH42" s="21"/>
      <c r="AK42" s="365">
        <v>26</v>
      </c>
      <c r="AL42" s="365" t="s">
        <v>1061</v>
      </c>
      <c r="AM42" s="365" t="s">
        <v>1062</v>
      </c>
      <c r="AN42" s="365" t="s">
        <v>1063</v>
      </c>
      <c r="AO42" s="162">
        <v>1</v>
      </c>
      <c r="AQ42" s="21"/>
      <c r="AR42" s="21"/>
      <c r="AS42" s="663" t="s">
        <v>1064</v>
      </c>
      <c r="AT42" s="380" t="s">
        <v>1065</v>
      </c>
      <c r="AU42" s="21">
        <v>1</v>
      </c>
      <c r="AX42" s="140"/>
      <c r="AY42" s="140"/>
      <c r="AZ42" s="375" t="s">
        <v>796</v>
      </c>
      <c r="BA42" s="140"/>
      <c r="BC42" s="21"/>
      <c r="BD42" s="23" t="s">
        <v>1066</v>
      </c>
      <c r="BE42" s="21"/>
      <c r="BF42" s="21"/>
      <c r="BG42" s="21"/>
    </row>
    <row r="43" spans="3:59" ht="14.25" customHeight="1">
      <c r="C43" s="398" t="s">
        <v>975</v>
      </c>
      <c r="D43" s="412" t="s">
        <v>984</v>
      </c>
      <c r="F43" s="399"/>
      <c r="H43" s="422" t="s">
        <v>460</v>
      </c>
      <c r="I43" s="417">
        <v>18700</v>
      </c>
      <c r="J43" s="417">
        <v>18900</v>
      </c>
      <c r="K43" s="418">
        <v>37600</v>
      </c>
      <c r="L43" s="417">
        <f t="shared" si="4"/>
        <v>37600</v>
      </c>
      <c r="M43" s="420"/>
      <c r="N43" s="74">
        <v>6</v>
      </c>
      <c r="O43" s="186" t="s">
        <v>812</v>
      </c>
      <c r="P43" s="281">
        <v>1</v>
      </c>
      <c r="Q43" s="281">
        <v>0</v>
      </c>
      <c r="R43" s="281">
        <f t="shared" si="3"/>
        <v>1</v>
      </c>
      <c r="S43" s="421" t="s">
        <v>1006</v>
      </c>
      <c r="T43" s="376" t="s">
        <v>813</v>
      </c>
      <c r="U43" s="416"/>
      <c r="V43" s="370"/>
      <c r="W43" s="370"/>
      <c r="X43" s="371"/>
      <c r="Y43" s="370"/>
      <c r="Z43" s="370"/>
      <c r="AA43" s="370"/>
      <c r="AB43" s="370"/>
      <c r="AE43" s="14" t="s">
        <v>1067</v>
      </c>
      <c r="AF43" s="15"/>
      <c r="AG43" s="21"/>
      <c r="AH43" s="21"/>
      <c r="AK43" s="365">
        <v>27</v>
      </c>
      <c r="AL43" s="365" t="s">
        <v>1068</v>
      </c>
      <c r="AM43" s="365" t="s">
        <v>1069</v>
      </c>
      <c r="AN43" s="365" t="s">
        <v>1070</v>
      </c>
      <c r="AO43" s="162">
        <v>1</v>
      </c>
      <c r="AQ43" s="21"/>
      <c r="AR43" s="21"/>
      <c r="AS43" s="663"/>
      <c r="AT43" s="380" t="s">
        <v>712</v>
      </c>
      <c r="AU43" s="21"/>
      <c r="AX43" s="140"/>
      <c r="AY43" s="140"/>
      <c r="AZ43" s="140"/>
      <c r="BA43" s="140"/>
      <c r="BC43" s="21"/>
      <c r="BD43" s="23" t="s">
        <v>1071</v>
      </c>
      <c r="BE43" s="21"/>
      <c r="BF43" s="21"/>
      <c r="BG43" s="21"/>
    </row>
    <row r="44" spans="3:59" ht="14.25" customHeight="1">
      <c r="C44" s="401"/>
      <c r="F44" s="399"/>
      <c r="H44" s="422" t="s">
        <v>461</v>
      </c>
      <c r="I44" s="417">
        <v>17200</v>
      </c>
      <c r="J44" s="417">
        <v>17400</v>
      </c>
      <c r="K44" s="418">
        <v>34600</v>
      </c>
      <c r="L44" s="417">
        <f t="shared" si="4"/>
        <v>34600</v>
      </c>
      <c r="M44" s="426"/>
      <c r="N44" s="74">
        <v>7</v>
      </c>
      <c r="O44" s="186" t="s">
        <v>823</v>
      </c>
      <c r="P44" s="281">
        <v>1</v>
      </c>
      <c r="Q44" s="281">
        <v>0</v>
      </c>
      <c r="R44" s="281">
        <f t="shared" si="3"/>
        <v>1</v>
      </c>
      <c r="S44" s="281">
        <v>0</v>
      </c>
      <c r="T44" s="376" t="s">
        <v>824</v>
      </c>
      <c r="U44" s="416"/>
      <c r="V44" s="370"/>
      <c r="W44" s="370"/>
      <c r="X44" s="371"/>
      <c r="Y44" s="370"/>
      <c r="Z44" s="370"/>
      <c r="AA44" s="370"/>
      <c r="AB44" s="370"/>
      <c r="AE44" s="15" t="s">
        <v>1072</v>
      </c>
      <c r="AF44" s="15" t="s">
        <v>1073</v>
      </c>
      <c r="AG44" s="21">
        <v>1</v>
      </c>
      <c r="AH44" s="21"/>
      <c r="AK44" s="366"/>
      <c r="AL44" s="366"/>
      <c r="AM44" s="366"/>
      <c r="AN44" s="366"/>
      <c r="AQ44" s="21"/>
      <c r="AR44" s="21"/>
      <c r="AS44" s="662" t="s">
        <v>1074</v>
      </c>
      <c r="AT44" s="385" t="s">
        <v>1075</v>
      </c>
      <c r="AU44" s="21">
        <v>1</v>
      </c>
      <c r="AX44" s="140"/>
      <c r="AY44" s="140"/>
      <c r="AZ44" s="381" t="s">
        <v>1076</v>
      </c>
      <c r="BA44" s="140">
        <v>1</v>
      </c>
      <c r="BC44" s="21"/>
      <c r="BD44" s="23" t="s">
        <v>1077</v>
      </c>
      <c r="BE44" s="21"/>
      <c r="BF44" s="21"/>
      <c r="BG44" s="21"/>
    </row>
    <row r="45" spans="3:59" ht="51">
      <c r="C45" s="401"/>
      <c r="F45" s="399"/>
      <c r="H45" s="422" t="s">
        <v>462</v>
      </c>
      <c r="I45" s="417">
        <v>14500</v>
      </c>
      <c r="J45" s="417">
        <v>15100</v>
      </c>
      <c r="K45" s="418">
        <v>29600</v>
      </c>
      <c r="L45" s="417">
        <f t="shared" si="4"/>
        <v>29600</v>
      </c>
      <c r="M45" s="170"/>
      <c r="N45" s="281"/>
      <c r="O45" s="186" t="s">
        <v>837</v>
      </c>
      <c r="P45" s="281">
        <f>SUM(P36:P44)</f>
        <v>9</v>
      </c>
      <c r="Q45" s="281">
        <f>SUM(Q36:Q44)</f>
        <v>35</v>
      </c>
      <c r="R45" s="281">
        <f t="shared" si="3"/>
        <v>44</v>
      </c>
      <c r="S45" s="281"/>
      <c r="T45" s="186"/>
      <c r="U45" s="416"/>
      <c r="V45" s="659"/>
      <c r="W45" s="652" t="s">
        <v>708</v>
      </c>
      <c r="X45" s="660" t="s">
        <v>742</v>
      </c>
      <c r="Y45" s="659">
        <v>1</v>
      </c>
      <c r="Z45" s="652">
        <v>3</v>
      </c>
      <c r="AA45" s="652">
        <v>3</v>
      </c>
      <c r="AB45" s="652"/>
      <c r="AE45" s="14" t="s">
        <v>1078</v>
      </c>
      <c r="AF45" s="15"/>
      <c r="AG45" s="21"/>
      <c r="AH45" s="21"/>
      <c r="AK45" s="366">
        <v>28</v>
      </c>
      <c r="AL45" s="366" t="s">
        <v>1079</v>
      </c>
      <c r="AM45" s="366" t="s">
        <v>1080</v>
      </c>
      <c r="AN45" s="366" t="s">
        <v>1081</v>
      </c>
      <c r="AO45" s="162">
        <v>1</v>
      </c>
      <c r="AQ45" s="21"/>
      <c r="AR45" s="21"/>
      <c r="AS45" s="662"/>
      <c r="AT45" s="385" t="s">
        <v>712</v>
      </c>
      <c r="AU45" s="21"/>
      <c r="AX45" s="140"/>
      <c r="AY45" s="140"/>
      <c r="AZ45" s="375" t="s">
        <v>1082</v>
      </c>
      <c r="BA45" s="140"/>
      <c r="BC45" s="21">
        <f>SUM(BC7:BC44)</f>
        <v>4</v>
      </c>
      <c r="BD45" s="21"/>
      <c r="BE45" s="21"/>
      <c r="BF45" s="21"/>
      <c r="BG45" s="21"/>
    </row>
    <row r="46" spans="3:59" ht="14.25" customHeight="1">
      <c r="C46" s="393" t="s">
        <v>759</v>
      </c>
      <c r="D46" s="394"/>
      <c r="E46" s="394"/>
      <c r="F46" s="395"/>
      <c r="H46" s="422" t="s">
        <v>463</v>
      </c>
      <c r="I46" s="417">
        <v>11700</v>
      </c>
      <c r="J46" s="417">
        <v>12700</v>
      </c>
      <c r="K46" s="418">
        <v>24400</v>
      </c>
      <c r="L46" s="417">
        <f t="shared" si="4"/>
        <v>24400</v>
      </c>
      <c r="M46" s="170"/>
      <c r="N46" s="140"/>
      <c r="O46" s="140" t="s">
        <v>845</v>
      </c>
      <c r="P46" s="391">
        <v>442700</v>
      </c>
      <c r="Q46" s="391">
        <v>442700</v>
      </c>
      <c r="R46" s="391">
        <v>442700</v>
      </c>
      <c r="S46" s="391">
        <v>442700</v>
      </c>
      <c r="T46" s="140"/>
      <c r="U46" s="416"/>
      <c r="V46" s="659"/>
      <c r="W46" s="652"/>
      <c r="X46" s="660"/>
      <c r="Y46" s="659"/>
      <c r="Z46" s="652"/>
      <c r="AA46" s="652"/>
      <c r="AB46" s="652"/>
      <c r="AE46" s="15" t="s">
        <v>1083</v>
      </c>
      <c r="AF46" s="15" t="s">
        <v>1084</v>
      </c>
      <c r="AG46" s="21">
        <v>1</v>
      </c>
      <c r="AH46" s="21"/>
      <c r="AK46" s="366">
        <v>29</v>
      </c>
      <c r="AL46" s="366" t="s">
        <v>1085</v>
      </c>
      <c r="AM46" s="366" t="s">
        <v>1086</v>
      </c>
      <c r="AN46" s="366" t="s">
        <v>1087</v>
      </c>
      <c r="AO46" s="162">
        <v>1</v>
      </c>
      <c r="AQ46" s="21"/>
      <c r="AR46" s="21"/>
      <c r="AS46" s="379" t="s">
        <v>1088</v>
      </c>
      <c r="AT46" s="380" t="s">
        <v>1089</v>
      </c>
      <c r="AU46" s="21">
        <v>1</v>
      </c>
      <c r="AX46" s="140"/>
      <c r="AY46" s="140"/>
      <c r="AZ46" s="375" t="s">
        <v>769</v>
      </c>
      <c r="BA46" s="140"/>
      <c r="BC46" s="21"/>
      <c r="BD46" s="21"/>
      <c r="BE46" s="21"/>
      <c r="BF46" s="21"/>
      <c r="BG46" s="21"/>
    </row>
    <row r="47" spans="3:59" ht="14.25" customHeight="1">
      <c r="C47" s="398" t="s">
        <v>916</v>
      </c>
      <c r="D47" s="252">
        <v>1</v>
      </c>
      <c r="E47" s="162" t="s">
        <v>1013</v>
      </c>
      <c r="F47" s="399" t="s">
        <v>712</v>
      </c>
      <c r="H47" s="422" t="s">
        <v>865</v>
      </c>
      <c r="I47" s="417">
        <v>8500</v>
      </c>
      <c r="J47" s="417">
        <v>9800</v>
      </c>
      <c r="K47" s="418">
        <v>18300</v>
      </c>
      <c r="L47" s="417">
        <f t="shared" si="4"/>
        <v>18300</v>
      </c>
      <c r="N47" s="140"/>
      <c r="O47" s="140" t="s">
        <v>857</v>
      </c>
      <c r="P47" s="319">
        <f>P45/P46*100000</f>
        <v>2.0329794443189519</v>
      </c>
      <c r="Q47" s="319">
        <f t="shared" ref="Q47:S47" si="5">Q45/Q46*100000</f>
        <v>7.9060311723514793</v>
      </c>
      <c r="R47" s="319">
        <f t="shared" si="5"/>
        <v>9.9390106166704317</v>
      </c>
      <c r="S47" s="319">
        <f t="shared" si="5"/>
        <v>0</v>
      </c>
      <c r="T47" s="140"/>
      <c r="U47" s="416"/>
      <c r="V47" s="652"/>
      <c r="W47" s="652"/>
      <c r="X47" s="427" t="s">
        <v>1090</v>
      </c>
      <c r="Y47" s="211"/>
      <c r="Z47" s="370">
        <v>1</v>
      </c>
      <c r="AA47" s="370">
        <v>1</v>
      </c>
      <c r="AB47" s="370"/>
      <c r="AD47" s="162">
        <v>1</v>
      </c>
      <c r="AE47" s="15" t="s">
        <v>1091</v>
      </c>
      <c r="AF47" s="15" t="s">
        <v>1046</v>
      </c>
      <c r="AG47" s="21">
        <v>1</v>
      </c>
      <c r="AH47" s="21"/>
      <c r="AK47" s="365">
        <v>31</v>
      </c>
      <c r="AL47" s="365" t="s">
        <v>1092</v>
      </c>
      <c r="AM47" s="365" t="s">
        <v>1093</v>
      </c>
      <c r="AN47" s="365" t="s">
        <v>1094</v>
      </c>
      <c r="AO47" s="162">
        <v>1</v>
      </c>
      <c r="AQ47" s="21"/>
      <c r="AR47" s="21"/>
      <c r="AS47" s="662" t="s">
        <v>1095</v>
      </c>
      <c r="AT47" s="385" t="s">
        <v>1096</v>
      </c>
      <c r="AU47" s="21">
        <v>1</v>
      </c>
      <c r="AX47" s="140"/>
      <c r="AY47" s="140"/>
      <c r="AZ47" s="381" t="s">
        <v>1097</v>
      </c>
      <c r="BA47" s="140">
        <v>1</v>
      </c>
    </row>
    <row r="48" spans="3:59" ht="14.25" customHeight="1">
      <c r="C48" s="398" t="s">
        <v>923</v>
      </c>
      <c r="D48" s="252">
        <v>5</v>
      </c>
      <c r="E48" s="162" t="s">
        <v>996</v>
      </c>
      <c r="F48" s="399" t="s">
        <v>712</v>
      </c>
      <c r="H48" s="422" t="s">
        <v>876</v>
      </c>
      <c r="I48" s="417">
        <v>5800</v>
      </c>
      <c r="J48" s="417">
        <v>7200</v>
      </c>
      <c r="K48" s="418">
        <v>13000</v>
      </c>
      <c r="L48" s="417">
        <f t="shared" si="4"/>
        <v>13000</v>
      </c>
      <c r="M48" s="416"/>
      <c r="N48" s="664" t="s">
        <v>864</v>
      </c>
      <c r="O48" s="664"/>
      <c r="U48" s="428"/>
      <c r="V48" s="652"/>
      <c r="W48" s="652"/>
      <c r="X48" s="427" t="s">
        <v>1098</v>
      </c>
      <c r="Y48" s="211"/>
      <c r="Z48" s="370">
        <v>1</v>
      </c>
      <c r="AA48" s="370">
        <v>1</v>
      </c>
      <c r="AB48" s="370"/>
      <c r="AE48" s="15" t="s">
        <v>1099</v>
      </c>
      <c r="AF48" s="15" t="s">
        <v>1100</v>
      </c>
      <c r="AG48" s="21">
        <v>1</v>
      </c>
      <c r="AH48" s="21"/>
      <c r="AK48" s="21"/>
      <c r="AL48" s="21"/>
      <c r="AM48" s="21"/>
      <c r="AN48" s="21"/>
      <c r="AQ48" s="21"/>
      <c r="AR48" s="21"/>
      <c r="AS48" s="662"/>
      <c r="AT48" s="385" t="s">
        <v>712</v>
      </c>
      <c r="AU48" s="21"/>
      <c r="AX48" s="140"/>
      <c r="AY48" s="140"/>
      <c r="AZ48" s="375" t="s">
        <v>1101</v>
      </c>
      <c r="BA48" s="140"/>
    </row>
    <row r="49" spans="3:53" ht="14.25" customHeight="1">
      <c r="C49" s="401"/>
      <c r="E49" s="162" t="s">
        <v>1102</v>
      </c>
      <c r="F49" s="399" t="s">
        <v>712</v>
      </c>
      <c r="H49" s="422" t="s">
        <v>884</v>
      </c>
      <c r="I49" s="417">
        <v>3700</v>
      </c>
      <c r="J49" s="417">
        <v>5000</v>
      </c>
      <c r="K49" s="418">
        <v>8700</v>
      </c>
      <c r="L49" s="417">
        <f t="shared" si="4"/>
        <v>8700</v>
      </c>
      <c r="M49" s="416"/>
      <c r="N49" s="416"/>
      <c r="O49" s="428"/>
      <c r="P49" s="428"/>
      <c r="Q49" s="416"/>
      <c r="R49" s="428"/>
      <c r="S49" s="428"/>
      <c r="T49" s="428"/>
      <c r="U49" s="428"/>
      <c r="V49" s="370"/>
      <c r="W49" s="370"/>
      <c r="X49" s="371"/>
      <c r="Y49" s="370"/>
      <c r="Z49" s="370"/>
      <c r="AA49" s="370"/>
      <c r="AB49" s="370"/>
      <c r="AE49" s="15" t="s">
        <v>1103</v>
      </c>
      <c r="AF49" s="15" t="s">
        <v>1104</v>
      </c>
      <c r="AG49" s="21">
        <v>1</v>
      </c>
      <c r="AH49" s="21"/>
      <c r="AK49" s="292" t="s">
        <v>1105</v>
      </c>
      <c r="AL49" s="21"/>
      <c r="AM49" s="21"/>
      <c r="AN49" s="21"/>
      <c r="AQ49" s="21"/>
      <c r="AR49" s="21"/>
      <c r="AS49" s="663" t="s">
        <v>1106</v>
      </c>
      <c r="AT49" s="380" t="s">
        <v>1107</v>
      </c>
      <c r="AU49" s="21">
        <v>1</v>
      </c>
      <c r="AX49" s="140"/>
      <c r="AY49" s="140"/>
      <c r="AZ49" s="375" t="s">
        <v>712</v>
      </c>
      <c r="BA49" s="140"/>
    </row>
    <row r="50" spans="3:53" ht="14.25" customHeight="1">
      <c r="C50" s="401"/>
      <c r="E50" s="162" t="s">
        <v>1108</v>
      </c>
      <c r="F50" s="399" t="s">
        <v>712</v>
      </c>
      <c r="H50" s="422" t="s">
        <v>898</v>
      </c>
      <c r="I50" s="417">
        <v>3500</v>
      </c>
      <c r="J50" s="417">
        <v>5100</v>
      </c>
      <c r="K50" s="418">
        <v>8600</v>
      </c>
      <c r="L50" s="417">
        <f t="shared" si="4"/>
        <v>8600</v>
      </c>
      <c r="M50" s="416"/>
      <c r="N50" s="416"/>
      <c r="O50" s="416"/>
      <c r="P50" s="416"/>
      <c r="Q50" s="416"/>
      <c r="R50" s="416"/>
      <c r="S50" s="416"/>
      <c r="T50" s="416"/>
      <c r="U50" s="416"/>
      <c r="V50" s="370"/>
      <c r="W50" s="370"/>
      <c r="X50" s="371"/>
      <c r="Y50" s="370"/>
      <c r="Z50" s="370"/>
      <c r="AA50" s="370"/>
      <c r="AB50" s="370"/>
      <c r="AE50" s="14" t="s">
        <v>900</v>
      </c>
      <c r="AF50" s="15"/>
      <c r="AG50" s="21"/>
      <c r="AH50" s="21"/>
      <c r="AK50" s="364" t="s">
        <v>722</v>
      </c>
      <c r="AL50" s="364" t="s">
        <v>723</v>
      </c>
      <c r="AM50" s="364" t="s">
        <v>724</v>
      </c>
      <c r="AN50" s="364" t="s">
        <v>725</v>
      </c>
      <c r="AQ50" s="21"/>
      <c r="AR50" s="21"/>
      <c r="AS50" s="663"/>
      <c r="AT50" s="380" t="s">
        <v>712</v>
      </c>
      <c r="AU50" s="21"/>
      <c r="AX50" s="140"/>
      <c r="AY50" s="140"/>
      <c r="AZ50" s="140"/>
      <c r="BA50" s="140"/>
    </row>
    <row r="51" spans="3:53" ht="23.25">
      <c r="C51" s="401"/>
      <c r="E51" s="162" t="s">
        <v>1109</v>
      </c>
      <c r="F51" s="399" t="s">
        <v>712</v>
      </c>
      <c r="H51" s="429" t="s">
        <v>306</v>
      </c>
      <c r="I51" s="417">
        <f>SUM(I34:I50)</f>
        <v>298300</v>
      </c>
      <c r="J51" s="417">
        <f t="shared" ref="J51:L51" si="6">SUM(J34:J50)</f>
        <v>299700</v>
      </c>
      <c r="K51" s="417">
        <f t="shared" si="6"/>
        <v>598000</v>
      </c>
      <c r="L51" s="417">
        <f t="shared" si="6"/>
        <v>442700</v>
      </c>
      <c r="V51" s="652"/>
      <c r="W51" s="652"/>
      <c r="X51" s="371" t="s">
        <v>1110</v>
      </c>
      <c r="Y51" s="652">
        <v>1</v>
      </c>
      <c r="Z51" s="652">
        <v>1</v>
      </c>
      <c r="AA51" s="652"/>
      <c r="AB51" s="652">
        <v>1</v>
      </c>
      <c r="AD51" s="162">
        <v>1</v>
      </c>
      <c r="AE51" s="15" t="s">
        <v>1111</v>
      </c>
      <c r="AF51" s="15" t="s">
        <v>1112</v>
      </c>
      <c r="AG51" s="21">
        <v>1</v>
      </c>
      <c r="AH51" s="21"/>
      <c r="AK51" s="365">
        <v>1</v>
      </c>
      <c r="AL51" s="365" t="s">
        <v>1113</v>
      </c>
      <c r="AM51" s="365" t="s">
        <v>1114</v>
      </c>
      <c r="AN51" s="365" t="s">
        <v>1115</v>
      </c>
      <c r="AO51" s="162">
        <v>1</v>
      </c>
      <c r="AQ51" s="21"/>
      <c r="AR51" s="21"/>
      <c r="AS51" s="662" t="s">
        <v>1116</v>
      </c>
      <c r="AT51" s="385" t="s">
        <v>1117</v>
      </c>
      <c r="AU51" s="21">
        <v>1</v>
      </c>
      <c r="AX51" s="140"/>
      <c r="AY51" s="140"/>
      <c r="AZ51" s="381" t="s">
        <v>1118</v>
      </c>
      <c r="BA51" s="140">
        <v>1</v>
      </c>
    </row>
    <row r="52" spans="3:53" ht="23.25">
      <c r="C52" s="401"/>
      <c r="E52" s="162" t="s">
        <v>1119</v>
      </c>
      <c r="F52" s="399" t="s">
        <v>775</v>
      </c>
      <c r="H52" s="637" t="s">
        <v>521</v>
      </c>
      <c r="I52" s="637"/>
      <c r="J52" s="637"/>
      <c r="K52" s="637"/>
      <c r="L52" s="637"/>
      <c r="V52" s="652"/>
      <c r="W52" s="652"/>
      <c r="X52" s="371" t="s">
        <v>794</v>
      </c>
      <c r="Y52" s="652"/>
      <c r="Z52" s="652"/>
      <c r="AA52" s="652"/>
      <c r="AB52" s="652"/>
      <c r="AD52" s="162">
        <f>SUM(AD6:AD51)</f>
        <v>9</v>
      </c>
      <c r="AE52" s="21"/>
      <c r="AF52" s="21"/>
      <c r="AG52" s="21">
        <f>SUM(AG7:AG51)</f>
        <v>38</v>
      </c>
      <c r="AH52" s="21"/>
      <c r="AK52" s="365">
        <v>2</v>
      </c>
      <c r="AL52" s="365" t="s">
        <v>1120</v>
      </c>
      <c r="AM52" s="365" t="s">
        <v>1121</v>
      </c>
      <c r="AN52" s="365" t="s">
        <v>1122</v>
      </c>
      <c r="AO52" s="162">
        <v>1</v>
      </c>
      <c r="AQ52" s="21"/>
      <c r="AR52" s="21"/>
      <c r="AS52" s="662"/>
      <c r="AT52" s="385" t="s">
        <v>712</v>
      </c>
      <c r="AU52" s="21"/>
      <c r="AX52" s="140"/>
      <c r="AY52" s="140"/>
      <c r="AZ52" s="375" t="s">
        <v>1123</v>
      </c>
      <c r="BA52" s="140"/>
    </row>
    <row r="53" spans="3:53" ht="18" customHeight="1">
      <c r="C53" s="398" t="s">
        <v>975</v>
      </c>
      <c r="D53" s="252">
        <v>20</v>
      </c>
      <c r="F53" s="399"/>
      <c r="H53" s="420" t="s">
        <v>362</v>
      </c>
      <c r="I53" s="348" t="s">
        <v>87</v>
      </c>
      <c r="J53" s="347"/>
      <c r="K53" s="347"/>
      <c r="L53" s="347"/>
      <c r="V53" s="370"/>
      <c r="W53" s="370"/>
      <c r="X53" s="371" t="s">
        <v>1124</v>
      </c>
      <c r="Y53" s="370"/>
      <c r="Z53" s="370">
        <v>1</v>
      </c>
      <c r="AA53" s="370"/>
      <c r="AB53" s="370">
        <v>1</v>
      </c>
      <c r="AK53" s="365">
        <v>3</v>
      </c>
      <c r="AL53" s="365" t="s">
        <v>1125</v>
      </c>
      <c r="AM53" s="365" t="s">
        <v>1126</v>
      </c>
      <c r="AN53" s="365" t="s">
        <v>1127</v>
      </c>
      <c r="AO53" s="162">
        <v>1</v>
      </c>
      <c r="AX53" s="140"/>
      <c r="AY53" s="140"/>
      <c r="AZ53" s="375" t="s">
        <v>1128</v>
      </c>
      <c r="BA53" s="140"/>
    </row>
    <row r="54" spans="3:53" ht="18" customHeight="1">
      <c r="C54" s="401"/>
      <c r="F54" s="399"/>
      <c r="J54" s="193"/>
      <c r="V54" s="370"/>
      <c r="W54" s="370"/>
      <c r="X54" s="371" t="s">
        <v>1129</v>
      </c>
      <c r="Y54" s="370"/>
      <c r="Z54" s="370">
        <v>1</v>
      </c>
      <c r="AA54" s="370"/>
      <c r="AB54" s="370"/>
      <c r="AK54" s="365">
        <v>4</v>
      </c>
      <c r="AL54" s="365" t="s">
        <v>1130</v>
      </c>
      <c r="AM54" s="365" t="s">
        <v>1131</v>
      </c>
      <c r="AN54" s="365" t="s">
        <v>1132</v>
      </c>
      <c r="AO54" s="162">
        <v>1</v>
      </c>
      <c r="AX54" s="140"/>
      <c r="AY54" s="140"/>
      <c r="AZ54" s="140"/>
      <c r="BA54" s="140"/>
    </row>
    <row r="55" spans="3:53" ht="31.5" customHeight="1">
      <c r="C55" s="393" t="s">
        <v>1133</v>
      </c>
      <c r="D55" s="394"/>
      <c r="E55" s="394"/>
      <c r="F55" s="395"/>
      <c r="H55" s="669" t="s">
        <v>1134</v>
      </c>
      <c r="I55" s="669"/>
      <c r="J55" s="193"/>
      <c r="V55" s="370"/>
      <c r="W55" s="370"/>
      <c r="X55" s="371" t="s">
        <v>1135</v>
      </c>
      <c r="Y55" s="370"/>
      <c r="Z55" s="370">
        <v>4</v>
      </c>
      <c r="AA55" s="370"/>
      <c r="AB55" s="370">
        <v>3</v>
      </c>
      <c r="AK55" s="365" t="s">
        <v>1136</v>
      </c>
      <c r="AL55" s="365" t="s">
        <v>1137</v>
      </c>
      <c r="AM55" s="365" t="s">
        <v>1138</v>
      </c>
      <c r="AN55" s="365" t="s">
        <v>1139</v>
      </c>
      <c r="AO55" s="162">
        <v>1</v>
      </c>
      <c r="AX55" s="140"/>
      <c r="AY55" s="140"/>
      <c r="AZ55" s="375" t="s">
        <v>712</v>
      </c>
      <c r="BA55" s="140"/>
    </row>
    <row r="56" spans="3:53" ht="18" customHeight="1">
      <c r="C56" s="398" t="s">
        <v>916</v>
      </c>
      <c r="D56" s="252">
        <v>1</v>
      </c>
      <c r="E56" s="162" t="s">
        <v>755</v>
      </c>
      <c r="F56" s="399" t="s">
        <v>712</v>
      </c>
      <c r="H56" s="430">
        <v>2004</v>
      </c>
      <c r="I56" s="430">
        <v>17.47</v>
      </c>
      <c r="J56" s="193"/>
      <c r="V56" s="431" t="s">
        <v>1144</v>
      </c>
      <c r="W56" s="432"/>
      <c r="X56" s="433"/>
      <c r="Y56" s="432"/>
      <c r="Z56" s="432"/>
      <c r="AA56" s="432"/>
      <c r="AB56" s="432"/>
      <c r="AK56" s="365" t="s">
        <v>1140</v>
      </c>
      <c r="AL56" s="365" t="s">
        <v>1141</v>
      </c>
      <c r="AM56" s="365" t="s">
        <v>1142</v>
      </c>
      <c r="AN56" s="365" t="s">
        <v>1143</v>
      </c>
      <c r="AO56" s="162">
        <v>1</v>
      </c>
      <c r="AX56" s="140"/>
      <c r="AY56" s="140"/>
      <c r="AZ56" s="140"/>
      <c r="BA56" s="140"/>
    </row>
    <row r="57" spans="3:53" ht="18" customHeight="1">
      <c r="C57" s="398" t="s">
        <v>923</v>
      </c>
      <c r="D57" s="252">
        <v>4</v>
      </c>
      <c r="E57" s="162" t="s">
        <v>872</v>
      </c>
      <c r="F57" s="399" t="s">
        <v>712</v>
      </c>
      <c r="H57" s="430">
        <v>2005</v>
      </c>
      <c r="I57" s="430">
        <v>19.82</v>
      </c>
      <c r="J57" s="193"/>
      <c r="AK57" s="365">
        <v>9</v>
      </c>
      <c r="AL57" s="365" t="s">
        <v>1145</v>
      </c>
      <c r="AM57" s="365" t="s">
        <v>1146</v>
      </c>
      <c r="AN57" s="365" t="s">
        <v>1147</v>
      </c>
      <c r="AO57" s="162">
        <v>1</v>
      </c>
      <c r="AX57" s="140"/>
      <c r="AY57" s="140"/>
      <c r="AZ57" s="381" t="s">
        <v>1148</v>
      </c>
      <c r="BA57" s="140">
        <v>1</v>
      </c>
    </row>
    <row r="58" spans="3:53" ht="18" customHeight="1">
      <c r="C58" s="401"/>
      <c r="E58" s="162" t="s">
        <v>1149</v>
      </c>
      <c r="F58" s="399" t="s">
        <v>712</v>
      </c>
      <c r="H58" s="430">
        <v>2006</v>
      </c>
      <c r="I58" s="430">
        <v>24.94</v>
      </c>
      <c r="J58" s="193"/>
      <c r="AJ58" s="162">
        <f>SUM(AJ8:AJ57)</f>
        <v>7</v>
      </c>
      <c r="AO58" s="162">
        <f>SUM(AO8:AO57)</f>
        <v>39</v>
      </c>
      <c r="AX58" s="140"/>
      <c r="AY58" s="140"/>
      <c r="AZ58" s="375" t="s">
        <v>1150</v>
      </c>
      <c r="BA58" s="140"/>
    </row>
    <row r="59" spans="3:53">
      <c r="C59" s="401"/>
      <c r="E59" s="162" t="s">
        <v>997</v>
      </c>
      <c r="F59" s="399" t="s">
        <v>775</v>
      </c>
      <c r="H59" s="430">
        <v>2007</v>
      </c>
      <c r="I59" s="430">
        <v>28.74</v>
      </c>
      <c r="J59" s="193"/>
      <c r="AX59" s="140"/>
      <c r="AY59" s="140"/>
      <c r="AZ59" s="375" t="s">
        <v>796</v>
      </c>
      <c r="BA59" s="140"/>
    </row>
    <row r="60" spans="3:53">
      <c r="C60" s="401"/>
      <c r="E60" s="162" t="s">
        <v>1151</v>
      </c>
      <c r="F60" s="399" t="s">
        <v>796</v>
      </c>
      <c r="H60" s="430">
        <v>2008</v>
      </c>
      <c r="I60" s="430">
        <v>28.53</v>
      </c>
      <c r="J60" s="193"/>
      <c r="AX60" s="140"/>
      <c r="AY60" s="140"/>
      <c r="AZ60" s="375" t="s">
        <v>1152</v>
      </c>
      <c r="BA60" s="140"/>
    </row>
    <row r="61" spans="3:53">
      <c r="C61" s="398" t="s">
        <v>975</v>
      </c>
      <c r="D61" s="412" t="s">
        <v>984</v>
      </c>
      <c r="F61" s="399"/>
      <c r="H61" s="430">
        <v>2009</v>
      </c>
      <c r="I61" s="430">
        <v>34.57</v>
      </c>
      <c r="J61" s="193"/>
      <c r="AX61" s="140"/>
      <c r="AY61" s="140"/>
      <c r="AZ61" s="140"/>
      <c r="BA61" s="140"/>
    </row>
    <row r="62" spans="3:53">
      <c r="C62" s="401"/>
      <c r="F62" s="399"/>
      <c r="H62" s="430">
        <v>2010</v>
      </c>
      <c r="I62" s="430">
        <v>35.6</v>
      </c>
      <c r="AX62" s="140"/>
      <c r="AY62" s="140"/>
      <c r="AZ62" s="381" t="s">
        <v>1153</v>
      </c>
      <c r="BA62" s="140">
        <v>1</v>
      </c>
    </row>
    <row r="63" spans="3:53">
      <c r="C63" s="393" t="s">
        <v>782</v>
      </c>
      <c r="D63" s="394"/>
      <c r="E63" s="394"/>
      <c r="F63" s="395"/>
      <c r="H63" s="430">
        <v>2011</v>
      </c>
      <c r="I63" s="430">
        <v>36.869999999999997</v>
      </c>
      <c r="AX63" s="140"/>
      <c r="AY63" s="140"/>
      <c r="AZ63" s="375" t="s">
        <v>811</v>
      </c>
      <c r="BA63" s="140"/>
    </row>
    <row r="64" spans="3:53">
      <c r="C64" s="398" t="s">
        <v>916</v>
      </c>
      <c r="D64" s="252">
        <v>1</v>
      </c>
      <c r="E64" s="162" t="s">
        <v>1154</v>
      </c>
      <c r="F64" s="399" t="s">
        <v>712</v>
      </c>
      <c r="H64" s="430">
        <v>2012</v>
      </c>
      <c r="I64" s="430">
        <v>41.75</v>
      </c>
      <c r="AX64" s="140"/>
      <c r="AY64" s="140"/>
      <c r="AZ64" s="375" t="s">
        <v>712</v>
      </c>
      <c r="BA64" s="140"/>
    </row>
    <row r="65" spans="3:53">
      <c r="C65" s="398" t="s">
        <v>923</v>
      </c>
      <c r="D65" s="252">
        <v>1</v>
      </c>
      <c r="E65" s="162" t="s">
        <v>1155</v>
      </c>
      <c r="F65" s="399" t="s">
        <v>775</v>
      </c>
      <c r="H65" s="430">
        <v>2013</v>
      </c>
      <c r="I65" s="430">
        <v>42.66</v>
      </c>
      <c r="AX65" s="140"/>
      <c r="AY65" s="140"/>
      <c r="AZ65" s="375"/>
      <c r="BA65" s="140"/>
    </row>
    <row r="66" spans="3:53">
      <c r="C66" s="398" t="s">
        <v>975</v>
      </c>
      <c r="D66" s="412" t="s">
        <v>984</v>
      </c>
      <c r="F66" s="399"/>
      <c r="H66" s="430">
        <v>2014</v>
      </c>
      <c r="I66" s="430">
        <v>47.07</v>
      </c>
      <c r="AX66" s="140"/>
      <c r="AY66" s="140"/>
      <c r="AZ66" s="375"/>
      <c r="BA66" s="140"/>
    </row>
    <row r="67" spans="3:53">
      <c r="C67" s="401"/>
      <c r="F67" s="399"/>
      <c r="H67" s="430">
        <v>2015</v>
      </c>
      <c r="I67" s="430">
        <v>47.13</v>
      </c>
      <c r="AX67" s="140"/>
      <c r="AY67" s="140"/>
      <c r="AZ67" s="140"/>
      <c r="BA67" s="140"/>
    </row>
    <row r="68" spans="3:53">
      <c r="C68" s="393" t="s">
        <v>794</v>
      </c>
      <c r="D68" s="394"/>
      <c r="E68" s="394"/>
      <c r="F68" s="395"/>
      <c r="H68" s="430">
        <v>2016</v>
      </c>
      <c r="I68" s="430">
        <v>49.69</v>
      </c>
      <c r="AX68" s="140"/>
      <c r="AY68" s="140"/>
      <c r="AZ68" s="381" t="s">
        <v>1156</v>
      </c>
      <c r="BA68" s="140">
        <v>1</v>
      </c>
    </row>
    <row r="69" spans="3:53">
      <c r="C69" s="398" t="s">
        <v>916</v>
      </c>
      <c r="D69" s="252">
        <v>1</v>
      </c>
      <c r="E69" s="162" t="s">
        <v>802</v>
      </c>
      <c r="F69" s="399" t="s">
        <v>712</v>
      </c>
      <c r="H69" s="430">
        <v>2017</v>
      </c>
      <c r="I69" s="430">
        <v>50.97</v>
      </c>
      <c r="AX69" s="140"/>
      <c r="AY69" s="140"/>
      <c r="AZ69" s="375" t="s">
        <v>1157</v>
      </c>
      <c r="BA69" s="140"/>
    </row>
    <row r="70" spans="3:53">
      <c r="C70" s="398" t="s">
        <v>923</v>
      </c>
      <c r="D70" s="252">
        <v>3</v>
      </c>
      <c r="E70" s="162" t="s">
        <v>1158</v>
      </c>
      <c r="F70" s="399" t="s">
        <v>900</v>
      </c>
      <c r="H70" s="430">
        <v>2018</v>
      </c>
      <c r="I70" s="430">
        <v>48.15</v>
      </c>
      <c r="AX70" s="140"/>
      <c r="AY70" s="140"/>
      <c r="AZ70" s="375" t="s">
        <v>1159</v>
      </c>
      <c r="BA70" s="140"/>
    </row>
    <row r="71" spans="3:53">
      <c r="C71" s="398"/>
      <c r="D71" s="252"/>
      <c r="E71" s="162" t="s">
        <v>1160</v>
      </c>
      <c r="F71" s="399" t="s">
        <v>1161</v>
      </c>
      <c r="H71" s="430">
        <v>2019</v>
      </c>
      <c r="I71" s="430">
        <v>48.72</v>
      </c>
    </row>
    <row r="72" spans="3:53">
      <c r="C72" s="398"/>
      <c r="D72" s="252"/>
      <c r="E72" s="162" t="s">
        <v>1162</v>
      </c>
      <c r="F72" s="399" t="s">
        <v>796</v>
      </c>
      <c r="H72" s="430">
        <v>2020</v>
      </c>
      <c r="I72" s="430">
        <v>45.79</v>
      </c>
    </row>
    <row r="73" spans="3:53">
      <c r="C73" s="398" t="s">
        <v>975</v>
      </c>
      <c r="D73" s="412" t="s">
        <v>984</v>
      </c>
      <c r="F73" s="399"/>
      <c r="H73" s="430">
        <v>2021</v>
      </c>
      <c r="I73" s="430">
        <v>42.48</v>
      </c>
    </row>
    <row r="74" spans="3:53">
      <c r="C74" s="401"/>
      <c r="F74" s="399"/>
      <c r="H74" s="162" t="s">
        <v>1163</v>
      </c>
    </row>
    <row r="75" spans="3:53">
      <c r="C75" s="393" t="s">
        <v>804</v>
      </c>
      <c r="D75" s="394"/>
      <c r="E75" s="394"/>
      <c r="F75" s="395"/>
      <c r="H75" s="162" t="s">
        <v>362</v>
      </c>
      <c r="I75" s="434" t="s">
        <v>1164</v>
      </c>
    </row>
    <row r="76" spans="3:53">
      <c r="C76" s="398" t="s">
        <v>916</v>
      </c>
      <c r="D76" s="252">
        <v>1</v>
      </c>
      <c r="E76" s="162" t="s">
        <v>1165</v>
      </c>
      <c r="F76" s="399" t="s">
        <v>712</v>
      </c>
    </row>
    <row r="77" spans="3:53">
      <c r="C77" s="398" t="s">
        <v>923</v>
      </c>
      <c r="D77" s="252">
        <v>9</v>
      </c>
      <c r="E77" s="162" t="s">
        <v>1166</v>
      </c>
      <c r="F77" s="399" t="s">
        <v>712</v>
      </c>
    </row>
    <row r="78" spans="3:53">
      <c r="C78" s="398"/>
      <c r="D78" s="252"/>
      <c r="E78" s="162" t="s">
        <v>1167</v>
      </c>
      <c r="F78" s="399" t="s">
        <v>712</v>
      </c>
    </row>
    <row r="79" spans="3:53">
      <c r="C79" s="398"/>
      <c r="D79" s="252"/>
      <c r="E79" s="162" t="s">
        <v>1168</v>
      </c>
      <c r="F79" s="399" t="s">
        <v>796</v>
      </c>
    </row>
    <row r="80" spans="3:53">
      <c r="C80" s="401"/>
      <c r="E80" s="162" t="s">
        <v>1169</v>
      </c>
      <c r="F80" s="399" t="s">
        <v>935</v>
      </c>
    </row>
    <row r="81" spans="3:6">
      <c r="C81" s="401"/>
      <c r="E81" s="162" t="s">
        <v>1170</v>
      </c>
      <c r="F81" s="399" t="s">
        <v>1067</v>
      </c>
    </row>
    <row r="82" spans="3:6">
      <c r="C82" s="401"/>
      <c r="E82" s="162" t="s">
        <v>1171</v>
      </c>
      <c r="F82" s="399" t="s">
        <v>1078</v>
      </c>
    </row>
    <row r="83" spans="3:6">
      <c r="C83" s="401"/>
      <c r="E83" s="162" t="s">
        <v>1172</v>
      </c>
      <c r="F83" s="399" t="s">
        <v>775</v>
      </c>
    </row>
    <row r="84" spans="3:6">
      <c r="C84" s="401"/>
      <c r="E84" s="162" t="s">
        <v>1173</v>
      </c>
      <c r="F84" s="399" t="s">
        <v>712</v>
      </c>
    </row>
    <row r="85" spans="3:6">
      <c r="C85" s="401"/>
      <c r="E85" s="162" t="s">
        <v>1174</v>
      </c>
      <c r="F85" s="399" t="s">
        <v>785</v>
      </c>
    </row>
    <row r="86" spans="3:6">
      <c r="C86" s="398" t="s">
        <v>975</v>
      </c>
      <c r="D86" s="412" t="s">
        <v>984</v>
      </c>
      <c r="F86" s="399"/>
    </row>
    <row r="87" spans="3:6">
      <c r="C87" s="401"/>
      <c r="F87" s="399"/>
    </row>
    <row r="88" spans="3:6">
      <c r="C88" s="393" t="s">
        <v>812</v>
      </c>
      <c r="D88" s="394"/>
      <c r="E88" s="394"/>
      <c r="F88" s="395"/>
    </row>
    <row r="89" spans="3:6">
      <c r="C89" s="398" t="s">
        <v>916</v>
      </c>
      <c r="D89" s="252">
        <v>1</v>
      </c>
      <c r="E89" s="162" t="s">
        <v>1175</v>
      </c>
      <c r="F89" s="399" t="s">
        <v>712</v>
      </c>
    </row>
    <row r="90" spans="3:6">
      <c r="C90" s="398" t="s">
        <v>923</v>
      </c>
      <c r="D90" s="435" t="s">
        <v>1176</v>
      </c>
      <c r="F90" s="399"/>
    </row>
    <row r="91" spans="3:6">
      <c r="C91" s="398" t="s">
        <v>975</v>
      </c>
      <c r="D91" s="412" t="s">
        <v>1177</v>
      </c>
      <c r="F91" s="399"/>
    </row>
    <row r="92" spans="3:6">
      <c r="C92" s="398"/>
      <c r="D92" s="252"/>
      <c r="F92" s="399"/>
    </row>
    <row r="93" spans="3:6">
      <c r="C93" s="393" t="s">
        <v>1178</v>
      </c>
      <c r="D93" s="394"/>
      <c r="E93" s="394"/>
      <c r="F93" s="395"/>
    </row>
    <row r="94" spans="3:6">
      <c r="C94" s="398" t="s">
        <v>916</v>
      </c>
      <c r="D94" s="252">
        <v>1</v>
      </c>
      <c r="E94" s="162" t="s">
        <v>1179</v>
      </c>
      <c r="F94" s="399" t="s">
        <v>712</v>
      </c>
    </row>
    <row r="95" spans="3:6">
      <c r="C95" s="398" t="s">
        <v>923</v>
      </c>
      <c r="D95" s="435" t="s">
        <v>1176</v>
      </c>
      <c r="F95" s="399"/>
    </row>
    <row r="96" spans="3:6" ht="57.75">
      <c r="C96" s="436" t="s">
        <v>975</v>
      </c>
      <c r="D96" s="437" t="s">
        <v>1180</v>
      </c>
      <c r="E96" s="438"/>
      <c r="F96" s="439"/>
    </row>
  </sheetData>
  <mergeCells count="67">
    <mergeCell ref="K5:K6"/>
    <mergeCell ref="H55:I55"/>
    <mergeCell ref="C2:I2"/>
    <mergeCell ref="C3:I3"/>
    <mergeCell ref="C20:D20"/>
    <mergeCell ref="C6:C7"/>
    <mergeCell ref="D6:D7"/>
    <mergeCell ref="E6:E7"/>
    <mergeCell ref="I6:I7"/>
    <mergeCell ref="AS14:AS15"/>
    <mergeCell ref="AA7:AA10"/>
    <mergeCell ref="AB7:AB10"/>
    <mergeCell ref="N48:O48"/>
    <mergeCell ref="H52:L52"/>
    <mergeCell ref="N33:T33"/>
    <mergeCell ref="N34:N35"/>
    <mergeCell ref="O34:O35"/>
    <mergeCell ref="P34:P35"/>
    <mergeCell ref="T34:T35"/>
    <mergeCell ref="V6:V12"/>
    <mergeCell ref="W7:W12"/>
    <mergeCell ref="AS8:AS9"/>
    <mergeCell ref="AS10:AS11"/>
    <mergeCell ref="AS12:AS13"/>
    <mergeCell ref="AS24:AS25"/>
    <mergeCell ref="AS26:AS27"/>
    <mergeCell ref="AA18:AA22"/>
    <mergeCell ref="AB18:AB22"/>
    <mergeCell ref="AS16:AS17"/>
    <mergeCell ref="AS18:AS19"/>
    <mergeCell ref="AS47:AS48"/>
    <mergeCell ref="AS49:AS50"/>
    <mergeCell ref="AS51:AS52"/>
    <mergeCell ref="AS29:AS30"/>
    <mergeCell ref="AS32:AS33"/>
    <mergeCell ref="AS34:AS35"/>
    <mergeCell ref="AS42:AS43"/>
    <mergeCell ref="AS44:AS45"/>
    <mergeCell ref="AX6:BA6"/>
    <mergeCell ref="V5:W5"/>
    <mergeCell ref="AE5:AH5"/>
    <mergeCell ref="C5:I5"/>
    <mergeCell ref="V45:V46"/>
    <mergeCell ref="W45:W46"/>
    <mergeCell ref="X45:X46"/>
    <mergeCell ref="V18:V27"/>
    <mergeCell ref="W18:W27"/>
    <mergeCell ref="Y32:Y33"/>
    <mergeCell ref="Z32:Z33"/>
    <mergeCell ref="AA32:AA33"/>
    <mergeCell ref="Y45:Y46"/>
    <mergeCell ref="AB32:AB33"/>
    <mergeCell ref="AB45:AB46"/>
    <mergeCell ref="AS22:AS23"/>
    <mergeCell ref="V47:V48"/>
    <mergeCell ref="W47:W48"/>
    <mergeCell ref="V51:V52"/>
    <mergeCell ref="W51:W52"/>
    <mergeCell ref="X32:X33"/>
    <mergeCell ref="V32:V33"/>
    <mergeCell ref="W32:W33"/>
    <mergeCell ref="Y51:Y52"/>
    <mergeCell ref="Z51:Z52"/>
    <mergeCell ref="AA51:AA52"/>
    <mergeCell ref="AB51:AB52"/>
    <mergeCell ref="Z45:Z46"/>
    <mergeCell ref="AA45:AA46"/>
  </mergeCells>
  <hyperlinks>
    <hyperlink ref="AX13" r:id="rId1" display="mailto:customercare@finabanknv.com" xr:uid="{00000000-0004-0000-0D00-000000000000}"/>
    <hyperlink ref="AX24" r:id="rId2" display="mailto:customercare@finabanknv.com" xr:uid="{00000000-0004-0000-0D00-000001000000}"/>
    <hyperlink ref="AX28" r:id="rId3" display="mailto:customercare@finabanknv.com" xr:uid="{00000000-0004-0000-0D00-000002000000}"/>
    <hyperlink ref="AX38" r:id="rId4" display="mailto:customercare@finabanknv.com" xr:uid="{00000000-0004-0000-0D00-000003000000}"/>
    <hyperlink ref="BD18" r:id="rId5" display="mailto:info@godo.sr" xr:uid="{00000000-0004-0000-0D00-000004000000}"/>
    <hyperlink ref="I8" r:id="rId6" display="https://hakrinbank.com/" xr:uid="{00000000-0004-0000-0D00-000005000000}"/>
    <hyperlink ref="I9" r:id="rId7" display="http://www.dsb.sr/" xr:uid="{00000000-0004-0000-0D00-000006000000}"/>
    <hyperlink ref="I10" r:id="rId8" display="https://republicbanksr.com/" xr:uid="{00000000-0004-0000-0D00-000007000000}"/>
    <hyperlink ref="I11" r:id="rId9" display="http://www.finabanknv.com/" xr:uid="{00000000-0004-0000-0D00-000008000000}"/>
    <hyperlink ref="I12" r:id="rId10" xr:uid="{00000000-0004-0000-0D00-000009000000}"/>
    <hyperlink ref="I15" r:id="rId11" display="http://www.scbbank.sr/" xr:uid="{00000000-0004-0000-0D00-00000A000000}"/>
    <hyperlink ref="I16" r:id="rId12" display="http://www.southcommbanknv.com/" xr:uid="{00000000-0004-0000-0D00-00000B000000}"/>
    <hyperlink ref="T36" r:id="rId13" display="https://hakrinbank.com/" xr:uid="{D8905491-766E-41BE-854E-6321D22589A9}"/>
    <hyperlink ref="T37" r:id="rId14" display="http://www.dsb.sr/" xr:uid="{0C009D2C-A3C8-4C49-94BC-1E69FC870917}"/>
    <hyperlink ref="T38" r:id="rId15" display="https://republicbanksr.com/" xr:uid="{F0C89086-BFA1-471C-B96B-1F863903B8CA}"/>
    <hyperlink ref="T39" r:id="rId16" display="http://www.finabanknv.com/" xr:uid="{C5A6DF2A-DEDF-4B40-A5B7-D2FC1A0879E7}"/>
    <hyperlink ref="T40" r:id="rId17" xr:uid="{B7541AEB-E2D7-49D4-A0C5-78DE9B59DACC}"/>
    <hyperlink ref="T43" r:id="rId18" display="http://www.scbbank.sr/" xr:uid="{14F0D6CD-8DB4-43D2-96D0-279CCFDCC69B}"/>
    <hyperlink ref="T44" r:id="rId19" display="http://www.southcommbanknv.com/" xr:uid="{1B90DFB3-FA16-41C3-ABDB-B1E3DCB61310}"/>
    <hyperlink ref="I53" r:id="rId20" xr:uid="{3A3BB410-6EC6-4645-A530-C7649184B26E}"/>
    <hyperlink ref="I75" r:id="rId21" xr:uid="{08CC102F-F893-462B-A6C9-BF96B68D3056}"/>
  </hyperlinks>
  <pageMargins left="0.7" right="0.7" top="0.75" bottom="0.75" header="0.3" footer="0.3"/>
  <pageSetup orientation="portrait" horizontalDpi="0" verticalDpi="0" r:id="rId2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D3:S15"/>
  <sheetViews>
    <sheetView zoomScale="90" zoomScaleNormal="90" workbookViewId="0">
      <selection activeCell="D15" sqref="D15"/>
    </sheetView>
  </sheetViews>
  <sheetFormatPr defaultRowHeight="15"/>
  <cols>
    <col min="4" max="4" width="40.140625" customWidth="1"/>
  </cols>
  <sheetData>
    <row r="3" spans="4:19" ht="45.75" customHeight="1">
      <c r="D3" s="566" t="s">
        <v>142</v>
      </c>
      <c r="E3" s="566"/>
      <c r="F3" s="566"/>
      <c r="G3" s="566"/>
      <c r="H3" s="566"/>
      <c r="I3" s="566"/>
    </row>
    <row r="4" spans="4:19" ht="45.75" customHeight="1">
      <c r="D4" s="645" t="s">
        <v>144</v>
      </c>
      <c r="E4" s="645"/>
      <c r="F4" s="645"/>
      <c r="G4" s="645"/>
      <c r="H4" s="645"/>
      <c r="I4" s="645"/>
    </row>
    <row r="7" spans="4:19">
      <c r="D7" s="671" t="s">
        <v>1181</v>
      </c>
      <c r="E7" s="672"/>
      <c r="F7" s="672"/>
      <c r="G7" s="672"/>
      <c r="H7" s="672"/>
      <c r="I7" s="672"/>
      <c r="J7" s="672"/>
      <c r="K7" s="672"/>
      <c r="L7" s="672"/>
      <c r="M7" s="672"/>
      <c r="N7" s="672"/>
      <c r="O7" s="672"/>
      <c r="P7" s="672"/>
      <c r="Q7" s="672"/>
      <c r="R7" s="672"/>
      <c r="S7" s="672"/>
    </row>
    <row r="8" spans="4:19">
      <c r="D8" s="673" t="s">
        <v>1182</v>
      </c>
      <c r="E8" s="674"/>
      <c r="F8" s="674"/>
      <c r="G8" s="674"/>
      <c r="H8" s="674"/>
      <c r="I8" s="674"/>
      <c r="J8" s="674"/>
      <c r="K8" s="674"/>
      <c r="L8" s="674"/>
      <c r="M8" s="674"/>
      <c r="N8" s="674"/>
      <c r="O8" s="674"/>
      <c r="P8" s="674"/>
      <c r="Q8" s="674"/>
      <c r="R8" s="674"/>
      <c r="S8" s="675"/>
    </row>
    <row r="9" spans="4:19">
      <c r="D9" s="676"/>
      <c r="E9" s="615" t="s">
        <v>306</v>
      </c>
      <c r="F9" s="617" t="s">
        <v>571</v>
      </c>
      <c r="G9" s="617"/>
      <c r="H9" s="679"/>
      <c r="I9" s="138"/>
      <c r="J9" s="617" t="s">
        <v>575</v>
      </c>
      <c r="K9" s="617"/>
      <c r="L9" s="617"/>
      <c r="M9" s="617"/>
      <c r="N9" s="617"/>
      <c r="O9" s="617"/>
      <c r="P9" s="617"/>
      <c r="Q9" s="617"/>
      <c r="R9" s="617"/>
      <c r="S9" s="680"/>
    </row>
    <row r="10" spans="4:19" ht="23.25">
      <c r="D10" s="677"/>
      <c r="E10" s="678"/>
      <c r="F10" s="137" t="s">
        <v>572</v>
      </c>
      <c r="G10" s="137" t="s">
        <v>573</v>
      </c>
      <c r="H10" s="137" t="s">
        <v>1183</v>
      </c>
      <c r="I10" s="137"/>
      <c r="J10" s="137" t="s">
        <v>1184</v>
      </c>
      <c r="K10" s="137" t="s">
        <v>796</v>
      </c>
      <c r="L10" s="137" t="s">
        <v>774</v>
      </c>
      <c r="M10" s="137" t="s">
        <v>1078</v>
      </c>
      <c r="N10" s="137" t="s">
        <v>1067</v>
      </c>
      <c r="O10" s="137" t="s">
        <v>785</v>
      </c>
      <c r="P10" s="137" t="s">
        <v>900</v>
      </c>
      <c r="Q10" s="137" t="s">
        <v>935</v>
      </c>
      <c r="R10" s="137" t="s">
        <v>1152</v>
      </c>
      <c r="S10" s="106" t="s">
        <v>1185</v>
      </c>
    </row>
    <row r="11" spans="4:19" ht="24" customHeight="1">
      <c r="D11" s="113" t="s">
        <v>1186</v>
      </c>
      <c r="E11" s="114"/>
      <c r="F11" s="107"/>
      <c r="G11" s="107"/>
      <c r="H11" s="107"/>
      <c r="I11" s="107"/>
      <c r="J11" s="107"/>
      <c r="K11" s="107"/>
      <c r="L11" s="107"/>
      <c r="M11" s="107"/>
      <c r="N11" s="107"/>
      <c r="O11" s="37"/>
      <c r="P11" s="37"/>
      <c r="Q11" s="37"/>
      <c r="R11" s="37"/>
      <c r="S11" s="52"/>
    </row>
    <row r="12" spans="4:19">
      <c r="D12" s="108" t="s">
        <v>1187</v>
      </c>
      <c r="E12" s="109">
        <v>76.551805560946775</v>
      </c>
      <c r="F12" s="110">
        <v>80.063944246127917</v>
      </c>
      <c r="G12" s="110">
        <v>72.617528088900542</v>
      </c>
      <c r="H12" s="111">
        <v>52.255957872974776</v>
      </c>
      <c r="I12" s="107"/>
      <c r="J12" s="110">
        <v>83.165130217270814</v>
      </c>
      <c r="K12" s="110">
        <v>78.453047606544928</v>
      </c>
      <c r="L12" s="110">
        <v>69.989847502316991</v>
      </c>
      <c r="M12" s="110">
        <v>80.018926339259735</v>
      </c>
      <c r="N12" s="110">
        <v>72.161262290737142</v>
      </c>
      <c r="O12" s="110">
        <v>74.596731346990353</v>
      </c>
      <c r="P12" s="110">
        <v>69.936555506549865</v>
      </c>
      <c r="Q12" s="110">
        <v>69.872004099119593</v>
      </c>
      <c r="R12" s="110">
        <v>59.084216888270191</v>
      </c>
      <c r="S12" s="112">
        <v>46.303954119582038</v>
      </c>
    </row>
    <row r="13" spans="4:19">
      <c r="D13" s="115" t="s">
        <v>1188</v>
      </c>
      <c r="E13" s="116">
        <v>7915.0000000000809</v>
      </c>
      <c r="F13" s="117">
        <v>5920.3608253345747</v>
      </c>
      <c r="G13" s="117">
        <v>1358.8500789397731</v>
      </c>
      <c r="H13" s="118">
        <v>635.78909572570808</v>
      </c>
      <c r="I13" s="119"/>
      <c r="J13" s="117">
        <v>3104.5186796816461</v>
      </c>
      <c r="K13" s="117">
        <v>2170.0898710047568</v>
      </c>
      <c r="L13" s="117">
        <v>508.48319240970596</v>
      </c>
      <c r="M13" s="117">
        <v>72.705206177062919</v>
      </c>
      <c r="N13" s="117">
        <v>318.33980686205075</v>
      </c>
      <c r="O13" s="117">
        <v>558.80599583382445</v>
      </c>
      <c r="P13" s="117">
        <v>212.25468588722072</v>
      </c>
      <c r="Q13" s="117">
        <v>334.01346641805088</v>
      </c>
      <c r="R13" s="117">
        <v>296.09869160100538</v>
      </c>
      <c r="S13" s="120">
        <v>339.69040412470298</v>
      </c>
    </row>
    <row r="15" spans="4:19">
      <c r="D15" s="130" t="s">
        <v>1189</v>
      </c>
    </row>
  </sheetData>
  <mergeCells count="8">
    <mergeCell ref="D3:I3"/>
    <mergeCell ref="D4:I4"/>
    <mergeCell ref="D7:S7"/>
    <mergeCell ref="D8:S8"/>
    <mergeCell ref="D9:D10"/>
    <mergeCell ref="E9:E10"/>
    <mergeCell ref="F9:H9"/>
    <mergeCell ref="J9:S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2:R66"/>
  <sheetViews>
    <sheetView zoomScale="70" zoomScaleNormal="70" workbookViewId="0">
      <selection activeCell="B2" sqref="B2"/>
    </sheetView>
  </sheetViews>
  <sheetFormatPr defaultRowHeight="15"/>
  <cols>
    <col min="1" max="3" width="9.140625" style="70"/>
    <col min="4" max="4" width="14.140625" style="70" customWidth="1"/>
    <col min="5" max="5" width="13.7109375" style="70" bestFit="1" customWidth="1"/>
    <col min="6" max="6" width="17.42578125" style="70" customWidth="1"/>
    <col min="7" max="7" width="11.7109375" style="70" customWidth="1"/>
    <col min="8" max="8" width="14" style="70" customWidth="1"/>
    <col min="9" max="9" width="12.28515625" style="70" customWidth="1"/>
    <col min="10" max="10" width="14.28515625" style="70" bestFit="1" customWidth="1"/>
    <col min="11" max="12" width="9.140625" style="70"/>
    <col min="13" max="13" width="14.28515625" style="70" customWidth="1"/>
    <col min="14" max="14" width="14.85546875" style="70" bestFit="1" customWidth="1"/>
    <col min="15" max="15" width="9.140625" style="70"/>
    <col min="16" max="16" width="47.140625" style="70" bestFit="1" customWidth="1"/>
    <col min="17" max="17" width="24.140625" style="70" bestFit="1" customWidth="1"/>
    <col min="18" max="18" width="13.85546875" style="70" customWidth="1"/>
    <col min="19" max="16384" width="9.140625" style="70"/>
  </cols>
  <sheetData>
    <row r="2" spans="4:18" ht="27.75" customHeight="1">
      <c r="D2" s="481" t="s">
        <v>148</v>
      </c>
      <c r="E2" s="481"/>
      <c r="F2" s="481"/>
      <c r="G2" s="481"/>
      <c r="H2" s="481"/>
      <c r="I2" s="481"/>
      <c r="J2" s="481"/>
      <c r="K2" s="481"/>
      <c r="M2" s="123" t="s">
        <v>1190</v>
      </c>
      <c r="N2" s="123"/>
    </row>
    <row r="3" spans="4:18" ht="156" customHeight="1">
      <c r="D3" s="513" t="s">
        <v>150</v>
      </c>
      <c r="E3" s="513"/>
      <c r="F3" s="513"/>
      <c r="G3" s="513"/>
      <c r="H3" s="513"/>
      <c r="I3" s="513"/>
      <c r="J3" s="513"/>
      <c r="K3" s="513"/>
      <c r="M3" s="567" t="s">
        <v>1191</v>
      </c>
      <c r="N3" s="568"/>
      <c r="O3" s="568"/>
      <c r="P3" s="568"/>
      <c r="Q3" s="569"/>
    </row>
    <row r="5" spans="4:18">
      <c r="D5" s="70" t="s">
        <v>265</v>
      </c>
      <c r="P5" s="681" t="s">
        <v>1192</v>
      </c>
      <c r="Q5" s="681"/>
      <c r="R5" s="681"/>
    </row>
    <row r="6" spans="4:18" ht="46.5" customHeight="1">
      <c r="M6" s="682" t="s">
        <v>1193</v>
      </c>
      <c r="N6" s="683"/>
      <c r="P6" s="21"/>
      <c r="Q6" s="292" t="s">
        <v>1194</v>
      </c>
      <c r="R6" s="292" t="s">
        <v>1195</v>
      </c>
    </row>
    <row r="7" spans="4:18" ht="29.25" customHeight="1">
      <c r="D7" s="478" t="s">
        <v>1196</v>
      </c>
      <c r="E7" s="478"/>
      <c r="F7" s="478"/>
      <c r="H7" s="681" t="s">
        <v>1197</v>
      </c>
      <c r="I7" s="681"/>
      <c r="J7" s="681"/>
      <c r="M7" s="21" t="s">
        <v>164</v>
      </c>
      <c r="N7" s="307" t="s">
        <v>1198</v>
      </c>
      <c r="P7" s="292" t="s">
        <v>1199</v>
      </c>
      <c r="Q7" s="444">
        <f>SUM(Q8:Q15)</f>
        <v>1319</v>
      </c>
      <c r="R7" s="21"/>
    </row>
    <row r="8" spans="4:18">
      <c r="D8" s="445"/>
      <c r="E8" s="445" t="s">
        <v>1200</v>
      </c>
      <c r="F8" s="445" t="s">
        <v>1201</v>
      </c>
      <c r="H8" s="445"/>
      <c r="I8" s="445" t="s">
        <v>1200</v>
      </c>
      <c r="J8" s="445" t="s">
        <v>1201</v>
      </c>
      <c r="M8" s="21" t="s">
        <v>271</v>
      </c>
      <c r="N8" s="307">
        <v>34830001.831054702</v>
      </c>
      <c r="P8" s="21" t="s">
        <v>1202</v>
      </c>
      <c r="Q8" s="21">
        <v>265</v>
      </c>
      <c r="R8" s="21">
        <v>8</v>
      </c>
    </row>
    <row r="9" spans="4:18">
      <c r="D9" s="446" t="s">
        <v>1203</v>
      </c>
      <c r="E9" s="140">
        <v>9</v>
      </c>
      <c r="F9" s="140">
        <v>2.8</v>
      </c>
      <c r="H9" s="446" t="s">
        <v>1203</v>
      </c>
      <c r="I9" s="140">
        <v>5.9</v>
      </c>
      <c r="J9" s="140">
        <v>0</v>
      </c>
      <c r="M9" s="21" t="s">
        <v>272</v>
      </c>
      <c r="N9" s="307">
        <v>23750000</v>
      </c>
      <c r="P9" s="21" t="s">
        <v>1204</v>
      </c>
      <c r="Q9" s="21">
        <v>19</v>
      </c>
      <c r="R9" s="21">
        <v>1</v>
      </c>
    </row>
    <row r="10" spans="4:18">
      <c r="D10" s="446" t="s">
        <v>1205</v>
      </c>
      <c r="E10" s="140">
        <v>17.5</v>
      </c>
      <c r="F10" s="140">
        <v>22.7</v>
      </c>
      <c r="H10" s="446" t="s">
        <v>1205</v>
      </c>
      <c r="I10" s="140">
        <v>1.5</v>
      </c>
      <c r="J10" s="140" t="s">
        <v>545</v>
      </c>
      <c r="M10" s="21" t="s">
        <v>277</v>
      </c>
      <c r="N10" s="307">
        <v>12329999.923706101</v>
      </c>
      <c r="P10" s="21" t="s">
        <v>1206</v>
      </c>
      <c r="Q10" s="21">
        <v>847</v>
      </c>
      <c r="R10" s="21">
        <v>24</v>
      </c>
    </row>
    <row r="11" spans="4:18">
      <c r="D11" s="446" t="s">
        <v>1207</v>
      </c>
      <c r="E11" s="140">
        <v>20.8</v>
      </c>
      <c r="F11" s="140">
        <v>32</v>
      </c>
      <c r="H11" s="446" t="s">
        <v>1207</v>
      </c>
      <c r="I11" s="140">
        <v>14.5</v>
      </c>
      <c r="J11" s="140">
        <v>28.4</v>
      </c>
      <c r="M11" s="21" t="s">
        <v>278</v>
      </c>
      <c r="N11" s="307">
        <v>11140000.3433228</v>
      </c>
      <c r="P11" s="21" t="s">
        <v>1208</v>
      </c>
      <c r="Q11" s="21"/>
      <c r="R11" s="21"/>
    </row>
    <row r="12" spans="4:18">
      <c r="D12" s="446" t="s">
        <v>1209</v>
      </c>
      <c r="E12" s="140">
        <v>5</v>
      </c>
      <c r="F12" s="140">
        <v>14.3</v>
      </c>
      <c r="H12" s="446" t="s">
        <v>1209</v>
      </c>
      <c r="I12" s="140">
        <v>62.2</v>
      </c>
      <c r="J12" s="140">
        <v>45.4</v>
      </c>
      <c r="M12" s="21" t="s">
        <v>279</v>
      </c>
      <c r="N12" s="307">
        <v>24799999.237060502</v>
      </c>
      <c r="P12" s="447" t="s">
        <v>1210</v>
      </c>
      <c r="Q12" s="21">
        <v>116</v>
      </c>
      <c r="R12" s="21">
        <v>3</v>
      </c>
    </row>
    <row r="13" spans="4:18">
      <c r="D13" s="446" t="s">
        <v>1211</v>
      </c>
      <c r="E13" s="140">
        <v>8.1999999999999993</v>
      </c>
      <c r="F13" s="140">
        <v>5.7</v>
      </c>
      <c r="H13" s="446" t="s">
        <v>1211</v>
      </c>
      <c r="I13" s="140">
        <v>63</v>
      </c>
      <c r="J13" s="140">
        <v>40.5</v>
      </c>
      <c r="M13" s="21" t="s">
        <v>280</v>
      </c>
      <c r="N13" s="307">
        <v>42880001.068115197</v>
      </c>
      <c r="P13" s="447" t="s">
        <v>1212</v>
      </c>
      <c r="Q13" s="21">
        <v>1</v>
      </c>
      <c r="R13" s="21">
        <v>0</v>
      </c>
    </row>
    <row r="14" spans="4:18">
      <c r="D14" s="446">
        <v>2018</v>
      </c>
      <c r="E14" s="140">
        <v>5.9</v>
      </c>
      <c r="F14" s="140">
        <v>6.1</v>
      </c>
      <c r="H14" s="446">
        <v>2018</v>
      </c>
      <c r="I14" s="140">
        <v>30.2</v>
      </c>
      <c r="J14" s="140">
        <v>13.4</v>
      </c>
      <c r="M14" s="21" t="s">
        <v>281</v>
      </c>
      <c r="N14" s="307">
        <v>63029998.779296905</v>
      </c>
      <c r="P14" s="447" t="s">
        <v>1213</v>
      </c>
      <c r="Q14" s="21">
        <v>41</v>
      </c>
      <c r="R14" s="21">
        <v>1</v>
      </c>
    </row>
    <row r="15" spans="4:18">
      <c r="D15" s="446">
        <v>2019</v>
      </c>
      <c r="E15" s="140">
        <v>27.9</v>
      </c>
      <c r="F15" s="140">
        <v>8.1999999999999993</v>
      </c>
      <c r="H15" s="446">
        <v>2019</v>
      </c>
      <c r="I15" s="140">
        <v>148.30000000000001</v>
      </c>
      <c r="J15" s="140">
        <v>19.600000000000001</v>
      </c>
      <c r="M15" s="21" t="s">
        <v>282</v>
      </c>
      <c r="N15" s="307">
        <v>150309997.55859402</v>
      </c>
      <c r="P15" s="447" t="s">
        <v>1214</v>
      </c>
      <c r="Q15" s="21">
        <v>30</v>
      </c>
      <c r="R15" s="21">
        <v>1</v>
      </c>
    </row>
    <row r="16" spans="4:18">
      <c r="D16" s="446">
        <v>2020</v>
      </c>
      <c r="E16" s="140">
        <v>10.3</v>
      </c>
      <c r="F16" s="140">
        <v>4.3</v>
      </c>
      <c r="H16" s="446">
        <v>2020</v>
      </c>
      <c r="I16" s="140">
        <v>3</v>
      </c>
      <c r="J16" s="140">
        <v>4.2</v>
      </c>
      <c r="M16" s="21" t="s">
        <v>283</v>
      </c>
      <c r="N16" s="307">
        <v>100019996.64306599</v>
      </c>
      <c r="P16" s="21"/>
      <c r="Q16" s="21"/>
      <c r="R16" s="21"/>
    </row>
    <row r="17" spans="4:18">
      <c r="D17" s="216" t="s">
        <v>1215</v>
      </c>
      <c r="H17" s="216" t="s">
        <v>1215</v>
      </c>
      <c r="M17" s="21" t="s">
        <v>284</v>
      </c>
      <c r="N17" s="307">
        <v>154520004.272461</v>
      </c>
      <c r="P17" s="292" t="s">
        <v>1216</v>
      </c>
      <c r="Q17" s="292">
        <f>Q19+Q20+Q18</f>
        <v>428</v>
      </c>
      <c r="R17" s="21"/>
    </row>
    <row r="18" spans="4:18">
      <c r="D18" s="216" t="s">
        <v>1217</v>
      </c>
      <c r="E18" s="448" t="s">
        <v>154</v>
      </c>
      <c r="H18" s="216" t="s">
        <v>1217</v>
      </c>
      <c r="I18" s="448" t="s">
        <v>154</v>
      </c>
      <c r="M18" s="21" t="s">
        <v>273</v>
      </c>
      <c r="N18" s="307">
        <v>100809997.558594</v>
      </c>
      <c r="P18" s="21" t="s">
        <v>1218</v>
      </c>
      <c r="Q18" s="21">
        <v>32</v>
      </c>
      <c r="R18" s="21">
        <v>1</v>
      </c>
    </row>
    <row r="19" spans="4:18">
      <c r="D19" s="216" t="s">
        <v>1219</v>
      </c>
      <c r="H19" s="216" t="s">
        <v>1220</v>
      </c>
      <c r="M19" s="21" t="s">
        <v>274</v>
      </c>
      <c r="N19" s="307">
        <v>76330001.831054702</v>
      </c>
      <c r="P19" s="21" t="s">
        <v>1221</v>
      </c>
      <c r="Q19" s="21">
        <v>384</v>
      </c>
      <c r="R19" s="21">
        <v>11</v>
      </c>
    </row>
    <row r="20" spans="4:18">
      <c r="M20" s="21" t="s">
        <v>275</v>
      </c>
      <c r="N20" s="307">
        <v>40349998.474121101</v>
      </c>
      <c r="P20" s="21" t="s">
        <v>1222</v>
      </c>
      <c r="Q20" s="21">
        <v>12</v>
      </c>
      <c r="R20" s="21">
        <v>0</v>
      </c>
    </row>
    <row r="21" spans="4:18">
      <c r="M21" s="21" t="s">
        <v>276</v>
      </c>
      <c r="N21" s="307">
        <v>30819999.6948242</v>
      </c>
      <c r="P21" s="162" t="s">
        <v>1223</v>
      </c>
    </row>
    <row r="22" spans="4:18">
      <c r="M22" s="21" t="s">
        <v>285</v>
      </c>
      <c r="N22" s="307">
        <v>13390000.3433228</v>
      </c>
      <c r="P22" s="162" t="s">
        <v>1224</v>
      </c>
    </row>
    <row r="23" spans="4:18">
      <c r="M23" s="21" t="s">
        <v>286</v>
      </c>
      <c r="N23" s="307">
        <v>15979999.5422363</v>
      </c>
      <c r="P23" s="162" t="s">
        <v>1217</v>
      </c>
      <c r="Q23" s="195" t="s">
        <v>157</v>
      </c>
    </row>
    <row r="24" spans="4:18">
      <c r="M24" s="21" t="s">
        <v>287</v>
      </c>
      <c r="N24" s="307">
        <v>16530000.6866455</v>
      </c>
    </row>
    <row r="25" spans="4:18">
      <c r="M25" s="21" t="s">
        <v>288</v>
      </c>
      <c r="N25" s="307">
        <v>20129999.160766602</v>
      </c>
    </row>
    <row r="26" spans="4:18">
      <c r="M26" s="21" t="s">
        <v>289</v>
      </c>
      <c r="N26" s="307">
        <v>14180000.3051758</v>
      </c>
    </row>
    <row r="27" spans="4:18">
      <c r="M27" s="21" t="s">
        <v>290</v>
      </c>
      <c r="N27" s="307">
        <v>23469999.3133545</v>
      </c>
    </row>
    <row r="28" spans="4:18">
      <c r="M28" s="21" t="s">
        <v>291</v>
      </c>
      <c r="N28" s="307">
        <v>27190000.534057599</v>
      </c>
    </row>
    <row r="29" spans="4:18">
      <c r="M29" s="21" t="s">
        <v>292</v>
      </c>
      <c r="N29" s="307">
        <v>28780000.6866455</v>
      </c>
    </row>
    <row r="30" spans="4:18">
      <c r="M30" s="21" t="s">
        <v>293</v>
      </c>
      <c r="N30" s="307">
        <v>54779998.779296905</v>
      </c>
    </row>
    <row r="31" spans="4:18">
      <c r="M31" s="431" t="s">
        <v>1225</v>
      </c>
      <c r="N31" s="431"/>
    </row>
    <row r="32" spans="4:18">
      <c r="M32" s="162" t="s">
        <v>362</v>
      </c>
      <c r="N32" s="449" t="s">
        <v>1226</v>
      </c>
    </row>
    <row r="46" spans="7:7">
      <c r="G46" s="195" t="s">
        <v>1227</v>
      </c>
    </row>
    <row r="66" spans="3:3">
      <c r="C66" s="195" t="s">
        <v>1228</v>
      </c>
    </row>
  </sheetData>
  <mergeCells count="7">
    <mergeCell ref="P5:R5"/>
    <mergeCell ref="M3:Q3"/>
    <mergeCell ref="D2:K2"/>
    <mergeCell ref="D3:K3"/>
    <mergeCell ref="D7:F7"/>
    <mergeCell ref="H7:J7"/>
    <mergeCell ref="M6:N6"/>
  </mergeCells>
  <hyperlinks>
    <hyperlink ref="E18" r:id="rId1" xr:uid="{EA6DCBB9-D7B4-45C7-9429-69F22748D2B7}"/>
    <hyperlink ref="I18" r:id="rId2" xr:uid="{5C9CC962-3633-4217-AA2A-A645974E9CA6}"/>
    <hyperlink ref="G46" r:id="rId3" xr:uid="{C1031BA8-46E8-4516-B474-798D13D44AC2}"/>
    <hyperlink ref="C66" r:id="rId4" xr:uid="{E5B83BE6-BFB0-4D56-9CF2-065E486C935B}"/>
    <hyperlink ref="N32" r:id="rId5" xr:uid="{5B8BD42B-DC60-482E-A89A-B04A83FB76CD}"/>
    <hyperlink ref="Q23" r:id="rId6" xr:uid="{B5223BE6-256A-4DD3-8014-3759F148C374}"/>
  </hyperlinks>
  <pageMargins left="0.7" right="0.7" top="0.75" bottom="0.75" header="0.3" footer="0.3"/>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V168"/>
  <sheetViews>
    <sheetView tabSelected="1" topLeftCell="A10" zoomScale="80" zoomScaleNormal="80" workbookViewId="0">
      <selection activeCell="B79" sqref="B79"/>
    </sheetView>
  </sheetViews>
  <sheetFormatPr defaultRowHeight="15"/>
  <cols>
    <col min="2" max="2" width="37.28515625" customWidth="1"/>
    <col min="3" max="3" width="21" customWidth="1"/>
    <col min="4" max="4" width="12.85546875" customWidth="1"/>
  </cols>
  <sheetData>
    <row r="1" spans="2:22" hidden="1"/>
    <row r="2" spans="2:22" hidden="1">
      <c r="B2" s="687" t="s">
        <v>1229</v>
      </c>
      <c r="C2" s="688"/>
      <c r="D2" s="688"/>
      <c r="E2" s="688"/>
      <c r="F2" s="688"/>
      <c r="G2" s="688"/>
      <c r="H2" s="688"/>
      <c r="I2" s="688"/>
      <c r="J2" s="688"/>
      <c r="K2" s="688"/>
      <c r="L2" s="688"/>
      <c r="M2" s="688"/>
      <c r="N2" s="688"/>
      <c r="O2" s="688"/>
      <c r="P2" s="688"/>
      <c r="Q2" s="689"/>
    </row>
    <row r="3" spans="2:22" ht="54.75" hidden="1" customHeight="1">
      <c r="B3" s="686" t="s">
        <v>1230</v>
      </c>
      <c r="C3" s="686"/>
      <c r="D3" s="686"/>
      <c r="E3" s="686"/>
      <c r="F3" s="686"/>
      <c r="G3" s="686"/>
      <c r="H3" s="686"/>
      <c r="I3" s="686"/>
      <c r="J3" s="686"/>
      <c r="K3" s="686"/>
      <c r="L3" s="686"/>
      <c r="M3" s="686"/>
      <c r="N3" s="686"/>
      <c r="O3" s="686"/>
      <c r="P3" s="686"/>
      <c r="Q3" s="686"/>
    </row>
    <row r="4" spans="2:22" ht="15.75" hidden="1" customHeight="1">
      <c r="B4" s="690" t="s">
        <v>1231</v>
      </c>
      <c r="C4" s="691"/>
      <c r="D4" s="691"/>
      <c r="E4" s="691"/>
      <c r="F4" s="691"/>
      <c r="G4" s="691"/>
      <c r="H4" s="691"/>
      <c r="I4" s="691"/>
      <c r="J4" s="691"/>
      <c r="K4" s="691"/>
      <c r="L4" s="691"/>
      <c r="M4" s="691"/>
      <c r="N4" s="691"/>
      <c r="O4" s="691"/>
      <c r="P4" s="691"/>
      <c r="Q4" s="692"/>
    </row>
    <row r="5" spans="2:22" ht="30.75" hidden="1" customHeight="1">
      <c r="B5" s="645" t="s">
        <v>1232</v>
      </c>
      <c r="C5" s="645"/>
      <c r="D5" s="645"/>
      <c r="E5" s="645"/>
      <c r="F5" s="645"/>
      <c r="G5" s="645"/>
      <c r="H5" s="645"/>
      <c r="I5" s="645"/>
      <c r="J5" s="645"/>
      <c r="K5" s="645"/>
      <c r="L5" s="645"/>
      <c r="M5" s="645"/>
      <c r="N5" s="645"/>
      <c r="O5" s="645"/>
      <c r="P5" s="645"/>
      <c r="Q5" s="645"/>
    </row>
    <row r="6" spans="2:22" ht="16.5" hidden="1" customHeight="1">
      <c r="B6" s="694" t="s">
        <v>1233</v>
      </c>
      <c r="C6" s="694"/>
      <c r="D6" s="694"/>
      <c r="E6" s="694"/>
      <c r="F6" s="694"/>
      <c r="G6" s="694"/>
      <c r="H6" s="694"/>
      <c r="I6" s="694"/>
      <c r="J6" s="694"/>
      <c r="K6" s="694"/>
      <c r="L6" s="694"/>
      <c r="M6" s="694"/>
      <c r="N6" s="694"/>
      <c r="O6" s="694"/>
      <c r="P6" s="694"/>
      <c r="Q6" s="694"/>
    </row>
    <row r="7" spans="2:22" ht="29.25" hidden="1" customHeight="1">
      <c r="B7" s="693" t="s">
        <v>1234</v>
      </c>
      <c r="C7" s="693"/>
      <c r="D7" s="693"/>
      <c r="E7" s="693"/>
      <c r="F7" s="693"/>
      <c r="G7" s="693"/>
      <c r="H7" s="693"/>
      <c r="I7" s="693"/>
      <c r="J7" s="693"/>
      <c r="K7" s="693"/>
      <c r="L7" s="693"/>
      <c r="M7" s="693"/>
      <c r="N7" s="693"/>
      <c r="O7" s="693"/>
      <c r="P7" s="693"/>
      <c r="Q7" s="693"/>
    </row>
    <row r="8" spans="2:22" ht="13.5" hidden="1" customHeight="1">
      <c r="B8" s="694" t="s">
        <v>1235</v>
      </c>
      <c r="C8" s="694"/>
      <c r="D8" s="694"/>
      <c r="E8" s="694"/>
      <c r="F8" s="694"/>
      <c r="G8" s="694"/>
      <c r="H8" s="694"/>
      <c r="I8" s="694"/>
      <c r="J8" s="694"/>
      <c r="K8" s="694"/>
      <c r="L8" s="694"/>
      <c r="M8" s="694"/>
      <c r="N8" s="694"/>
      <c r="O8" s="694"/>
      <c r="P8" s="694"/>
      <c r="Q8" s="694"/>
    </row>
    <row r="9" spans="2:22" ht="36" hidden="1" customHeight="1">
      <c r="B9" s="696" t="s">
        <v>1236</v>
      </c>
      <c r="C9" s="696"/>
      <c r="D9" s="696"/>
      <c r="E9" s="696"/>
      <c r="F9" s="696"/>
      <c r="G9" s="696"/>
      <c r="H9" s="696"/>
      <c r="I9" s="696"/>
      <c r="J9" s="696"/>
      <c r="K9" s="696"/>
      <c r="L9" s="696"/>
      <c r="M9" s="696"/>
      <c r="N9" s="696"/>
      <c r="O9" s="696"/>
      <c r="P9" s="696"/>
      <c r="Q9" s="121"/>
    </row>
    <row r="10" spans="2:22" ht="16.5" customHeight="1">
      <c r="B10" s="133"/>
      <c r="C10" s="133"/>
      <c r="D10" s="133"/>
      <c r="E10" s="133"/>
      <c r="F10" s="133"/>
      <c r="G10" s="133"/>
      <c r="H10" s="133"/>
      <c r="I10" s="133"/>
      <c r="J10" s="133"/>
      <c r="K10" s="133"/>
      <c r="L10" s="133"/>
      <c r="M10" s="133"/>
      <c r="N10" s="133"/>
      <c r="O10" s="133"/>
      <c r="P10" s="133"/>
      <c r="Q10" s="69"/>
    </row>
    <row r="11" spans="2:22" ht="39.75" customHeight="1">
      <c r="B11" s="133"/>
      <c r="C11" s="566" t="s">
        <v>159</v>
      </c>
      <c r="D11" s="566"/>
      <c r="E11" s="566"/>
      <c r="F11" s="566"/>
      <c r="G11" s="566"/>
      <c r="H11" s="566"/>
      <c r="I11" s="566"/>
      <c r="J11" s="566"/>
      <c r="K11" s="566"/>
      <c r="L11" s="566"/>
      <c r="M11" s="566"/>
      <c r="N11" s="566"/>
      <c r="O11" s="566"/>
      <c r="P11" s="133"/>
      <c r="Q11" s="133"/>
      <c r="R11" s="133"/>
      <c r="S11" s="133"/>
      <c r="T11" s="133"/>
      <c r="U11" s="133"/>
      <c r="V11" s="133"/>
    </row>
    <row r="12" spans="2:22" ht="270" customHeight="1">
      <c r="B12" s="133"/>
      <c r="C12" s="686" t="s">
        <v>161</v>
      </c>
      <c r="D12" s="686"/>
      <c r="E12" s="686"/>
      <c r="F12" s="686"/>
      <c r="G12" s="686"/>
      <c r="H12" s="686"/>
      <c r="I12" s="686"/>
      <c r="J12" s="686"/>
      <c r="K12" s="686"/>
      <c r="L12" s="686"/>
      <c r="M12" s="686"/>
      <c r="N12" s="686"/>
      <c r="O12" s="686"/>
      <c r="P12" s="133"/>
      <c r="Q12" s="69"/>
    </row>
    <row r="13" spans="2:22" ht="16.5" customHeight="1">
      <c r="B13" s="133"/>
      <c r="C13" s="133"/>
      <c r="D13" s="133"/>
      <c r="E13" s="133"/>
      <c r="F13" s="133"/>
      <c r="G13" s="133"/>
      <c r="H13" s="133"/>
      <c r="I13" s="133"/>
      <c r="J13" s="133"/>
      <c r="K13" s="133"/>
      <c r="L13" s="133"/>
      <c r="M13" s="133"/>
      <c r="N13" s="133"/>
      <c r="O13" s="133"/>
      <c r="P13" s="133"/>
      <c r="Q13" s="69"/>
    </row>
    <row r="14" spans="2:22" ht="16.5" customHeight="1">
      <c r="B14" s="133"/>
      <c r="C14" s="133"/>
      <c r="D14" s="133"/>
      <c r="E14" s="133"/>
      <c r="F14" s="133"/>
      <c r="G14" s="133"/>
      <c r="H14" s="133"/>
      <c r="I14" s="133"/>
      <c r="J14" s="133"/>
      <c r="K14" s="133"/>
      <c r="L14" s="133"/>
      <c r="M14" s="133"/>
      <c r="N14" s="133"/>
      <c r="O14" s="133"/>
      <c r="P14" s="133"/>
      <c r="Q14" s="69"/>
    </row>
    <row r="15" spans="2:22" ht="16.5" customHeight="1">
      <c r="B15" s="685" t="s">
        <v>1237</v>
      </c>
      <c r="C15" s="685"/>
      <c r="D15" s="685"/>
      <c r="E15" s="685"/>
      <c r="F15" s="685"/>
      <c r="G15" s="685"/>
      <c r="H15" s="685"/>
      <c r="I15" s="133"/>
      <c r="J15" s="133"/>
      <c r="K15" s="133"/>
      <c r="L15" s="133"/>
      <c r="M15" s="133"/>
      <c r="N15" s="133"/>
      <c r="O15" s="133"/>
      <c r="P15" s="133"/>
      <c r="Q15" s="69"/>
    </row>
    <row r="16" spans="2:22" ht="36" customHeight="1">
      <c r="B16" s="133"/>
      <c r="C16" s="133"/>
      <c r="D16" s="133"/>
      <c r="E16" s="133"/>
      <c r="F16" s="133"/>
      <c r="G16" s="133"/>
      <c r="H16" s="133"/>
      <c r="I16" s="133"/>
      <c r="J16" s="133"/>
      <c r="K16" s="133"/>
      <c r="L16" s="133"/>
      <c r="M16" s="133"/>
      <c r="N16" s="133"/>
      <c r="O16" s="133"/>
      <c r="P16" s="133"/>
      <c r="Q16" s="69"/>
    </row>
    <row r="17" spans="2:20" ht="15.75" customHeight="1">
      <c r="B17" s="695" t="s">
        <v>1238</v>
      </c>
      <c r="C17" s="695"/>
      <c r="D17" s="695"/>
      <c r="E17" s="695"/>
      <c r="F17" s="695"/>
      <c r="G17" s="695"/>
      <c r="H17" s="695"/>
      <c r="I17" s="695"/>
      <c r="J17" s="695"/>
      <c r="K17" s="695"/>
      <c r="L17" s="695"/>
      <c r="M17" s="695"/>
      <c r="N17" s="695"/>
      <c r="O17" s="695"/>
      <c r="P17" s="695"/>
      <c r="Q17" s="695"/>
    </row>
    <row r="18" spans="2:20" ht="36.75" customHeight="1">
      <c r="B18" s="645" t="s">
        <v>1239</v>
      </c>
      <c r="C18" s="645"/>
      <c r="D18" s="645"/>
      <c r="E18" s="645"/>
      <c r="F18" s="645"/>
      <c r="G18" s="645"/>
      <c r="H18" s="645"/>
      <c r="I18" s="645"/>
      <c r="J18" s="645"/>
      <c r="K18" s="645"/>
      <c r="L18" s="645"/>
      <c r="M18" s="645"/>
      <c r="N18" s="645"/>
      <c r="O18" s="645"/>
      <c r="P18" s="645"/>
      <c r="Q18" s="645"/>
    </row>
    <row r="19" spans="2:20">
      <c r="B19" s="31"/>
      <c r="C19" s="31"/>
      <c r="D19" s="31"/>
      <c r="E19" s="31"/>
      <c r="F19" s="31"/>
      <c r="G19" s="31"/>
      <c r="H19" s="31"/>
      <c r="I19" s="31"/>
      <c r="J19" s="31"/>
      <c r="K19" s="31"/>
      <c r="L19" s="31"/>
      <c r="M19" s="31"/>
      <c r="N19" s="31"/>
      <c r="O19" s="31"/>
      <c r="P19" s="31"/>
    </row>
    <row r="20" spans="2:20" ht="39.75" customHeight="1">
      <c r="B20" s="684" t="s">
        <v>1240</v>
      </c>
      <c r="C20" s="684"/>
      <c r="D20" s="684"/>
      <c r="E20" s="684"/>
      <c r="F20" s="684"/>
      <c r="G20" s="684"/>
      <c r="H20" s="684"/>
      <c r="I20" s="684"/>
      <c r="J20" s="684"/>
      <c r="K20" s="684"/>
      <c r="L20" s="684"/>
      <c r="M20" s="684"/>
      <c r="N20" s="684"/>
      <c r="O20" s="684"/>
      <c r="P20" s="684"/>
      <c r="Q20" s="684"/>
    </row>
    <row r="21" spans="2:20" ht="32.25" customHeight="1">
      <c r="B21" s="53"/>
      <c r="C21" s="53"/>
      <c r="D21" s="53"/>
      <c r="E21" s="53"/>
      <c r="F21" s="53"/>
      <c r="G21" s="53"/>
      <c r="H21" s="53"/>
      <c r="I21" s="53"/>
      <c r="J21" s="53"/>
      <c r="K21" s="53"/>
      <c r="L21" s="53"/>
      <c r="M21" s="53"/>
      <c r="N21" s="53"/>
      <c r="O21" s="53"/>
      <c r="P21" s="53"/>
      <c r="Q21" s="53"/>
    </row>
    <row r="22" spans="2:20" ht="19.5" customHeight="1">
      <c r="B22" s="698" t="s">
        <v>1241</v>
      </c>
      <c r="C22" s="698"/>
      <c r="D22" s="698"/>
      <c r="E22" s="698"/>
      <c r="F22" s="698"/>
      <c r="G22" s="698"/>
      <c r="H22" s="698"/>
      <c r="I22" s="698"/>
      <c r="J22" s="698"/>
      <c r="K22" s="698"/>
      <c r="L22" s="698"/>
      <c r="M22" s="698"/>
      <c r="N22" s="698"/>
      <c r="O22" s="698"/>
      <c r="P22" s="698"/>
      <c r="Q22" s="698"/>
    </row>
    <row r="23" spans="2:20" ht="72" customHeight="1">
      <c r="B23" s="645" t="s">
        <v>1242</v>
      </c>
      <c r="C23" s="645"/>
      <c r="D23" s="645"/>
      <c r="E23" s="645"/>
      <c r="F23" s="645"/>
      <c r="G23" s="645"/>
      <c r="H23" s="645"/>
      <c r="I23" s="645"/>
      <c r="J23" s="645"/>
      <c r="K23" s="645"/>
      <c r="L23" s="645"/>
      <c r="M23" s="645"/>
      <c r="N23" s="645"/>
      <c r="O23" s="645"/>
      <c r="P23" s="645"/>
      <c r="Q23" s="645"/>
      <c r="T23" t="s">
        <v>825</v>
      </c>
    </row>
    <row r="24" spans="2:20">
      <c r="C24" s="31"/>
      <c r="D24" s="31"/>
      <c r="E24" s="31"/>
      <c r="F24" s="31"/>
      <c r="G24" s="31"/>
      <c r="H24" s="31"/>
      <c r="I24" s="31"/>
      <c r="J24" s="31"/>
      <c r="K24" s="31"/>
      <c r="L24" s="31"/>
      <c r="M24" s="31"/>
      <c r="N24" s="31"/>
      <c r="O24" s="31"/>
      <c r="P24" s="31"/>
    </row>
    <row r="25" spans="2:20">
      <c r="B25" s="699" t="s">
        <v>1243</v>
      </c>
      <c r="C25" s="699"/>
      <c r="D25" s="699"/>
      <c r="E25" s="699"/>
      <c r="F25" s="699"/>
      <c r="G25" s="699"/>
      <c r="H25" s="699"/>
      <c r="I25" s="699"/>
      <c r="J25" s="699"/>
      <c r="K25" s="699"/>
      <c r="L25" s="699"/>
      <c r="M25" s="699"/>
      <c r="N25" s="699"/>
      <c r="O25" s="699"/>
      <c r="P25" s="699"/>
      <c r="Q25" s="699"/>
    </row>
    <row r="26" spans="2:20" ht="142.5" customHeight="1">
      <c r="B26" s="693" t="s">
        <v>1244</v>
      </c>
      <c r="C26" s="693"/>
      <c r="D26" s="693"/>
      <c r="E26" s="693"/>
      <c r="F26" s="693"/>
      <c r="G26" s="693"/>
      <c r="H26" s="693"/>
      <c r="I26" s="693"/>
      <c r="J26" s="693"/>
      <c r="K26" s="693"/>
      <c r="L26" s="693"/>
      <c r="M26" s="693"/>
      <c r="N26" s="693"/>
      <c r="O26" s="693"/>
      <c r="P26" s="693"/>
      <c r="Q26" s="693"/>
      <c r="T26" s="31"/>
    </row>
    <row r="27" spans="2:20" ht="28.5" customHeight="1">
      <c r="B27" s="139"/>
      <c r="C27" s="139"/>
      <c r="D27" s="139"/>
      <c r="E27" s="139"/>
      <c r="F27" s="139"/>
      <c r="G27" s="139"/>
      <c r="H27" s="139"/>
      <c r="I27" s="139"/>
      <c r="J27" s="139"/>
      <c r="K27" s="139"/>
      <c r="L27" s="139"/>
      <c r="M27" s="139"/>
      <c r="N27" s="139"/>
      <c r="O27" s="139"/>
      <c r="P27" s="139"/>
      <c r="Q27" s="139"/>
      <c r="T27" s="31"/>
    </row>
    <row r="28" spans="2:20">
      <c r="B28" s="698" t="s">
        <v>1233</v>
      </c>
      <c r="C28" s="698"/>
      <c r="D28" s="698"/>
      <c r="E28" s="698"/>
      <c r="F28" s="698"/>
      <c r="G28" s="698"/>
      <c r="H28" s="698"/>
      <c r="I28" s="698"/>
      <c r="J28" s="698"/>
      <c r="K28" s="698"/>
      <c r="L28" s="698"/>
      <c r="M28" s="698"/>
      <c r="N28" s="698"/>
      <c r="O28" s="698"/>
      <c r="P28" s="698"/>
      <c r="Q28" s="698"/>
    </row>
    <row r="29" spans="2:20" ht="136.5" customHeight="1">
      <c r="B29" s="645" t="s">
        <v>1245</v>
      </c>
      <c r="C29" s="645"/>
      <c r="D29" s="645"/>
      <c r="E29" s="645"/>
      <c r="F29" s="645"/>
      <c r="G29" s="645"/>
      <c r="H29" s="645"/>
      <c r="I29" s="645"/>
      <c r="J29" s="645"/>
      <c r="K29" s="645"/>
      <c r="L29" s="645"/>
      <c r="M29" s="645"/>
      <c r="N29" s="645"/>
      <c r="O29" s="645"/>
      <c r="P29" s="645"/>
      <c r="Q29" s="645"/>
    </row>
    <row r="30" spans="2:20">
      <c r="C30" s="31"/>
      <c r="D30" s="31"/>
      <c r="E30" s="31"/>
      <c r="F30" s="31"/>
      <c r="G30" s="31"/>
      <c r="H30" s="31"/>
      <c r="I30" s="31"/>
      <c r="J30" s="31"/>
      <c r="K30" s="31"/>
      <c r="L30" s="31"/>
      <c r="M30" s="31"/>
      <c r="N30" s="31"/>
      <c r="O30" s="31"/>
      <c r="P30" s="31"/>
    </row>
    <row r="32" spans="2:20">
      <c r="B32" s="700" t="s">
        <v>1246</v>
      </c>
      <c r="C32" s="700"/>
      <c r="D32" s="700"/>
      <c r="E32" s="700"/>
      <c r="F32" s="700"/>
      <c r="G32" s="700"/>
      <c r="H32" s="700"/>
      <c r="I32" s="700"/>
      <c r="J32" s="700"/>
      <c r="K32" s="700"/>
      <c r="L32" s="700"/>
      <c r="M32" s="700"/>
      <c r="N32" s="700"/>
      <c r="O32" s="700"/>
      <c r="P32" s="700"/>
      <c r="Q32" s="700"/>
    </row>
    <row r="33" spans="2:20" ht="207" customHeight="1">
      <c r="B33" s="701" t="s">
        <v>1247</v>
      </c>
      <c r="C33" s="701"/>
      <c r="D33" s="701"/>
      <c r="E33" s="701"/>
      <c r="F33" s="701"/>
      <c r="G33" s="701"/>
      <c r="H33" s="701"/>
      <c r="I33" s="701"/>
      <c r="J33" s="701"/>
      <c r="K33" s="701"/>
      <c r="L33" s="701"/>
      <c r="M33" s="701"/>
      <c r="N33" s="701"/>
      <c r="O33" s="701"/>
      <c r="P33" s="701"/>
      <c r="Q33" s="701"/>
      <c r="T33" s="31" t="s">
        <v>91</v>
      </c>
    </row>
    <row r="35" spans="2:20">
      <c r="B35" s="702" t="s">
        <v>1238</v>
      </c>
      <c r="C35" s="702"/>
      <c r="D35" s="702"/>
      <c r="E35" s="702"/>
      <c r="F35" s="702"/>
      <c r="G35" s="702"/>
      <c r="H35" s="702"/>
      <c r="I35" s="702"/>
      <c r="J35" s="702"/>
      <c r="K35" s="702"/>
      <c r="L35" s="702"/>
      <c r="M35" s="702"/>
      <c r="N35" s="702"/>
      <c r="O35" s="702"/>
      <c r="P35" s="702"/>
      <c r="Q35" s="702"/>
    </row>
    <row r="36" spans="2:20" ht="134.25" customHeight="1">
      <c r="B36" s="645" t="s">
        <v>1248</v>
      </c>
      <c r="C36" s="645"/>
      <c r="D36" s="645"/>
      <c r="E36" s="645"/>
      <c r="F36" s="645"/>
      <c r="G36" s="645"/>
      <c r="H36" s="645"/>
      <c r="I36" s="645"/>
      <c r="J36" s="645"/>
      <c r="K36" s="645"/>
      <c r="L36" s="645"/>
      <c r="M36" s="645"/>
      <c r="N36" s="645"/>
      <c r="O36" s="645"/>
      <c r="P36" s="645"/>
      <c r="Q36" s="645"/>
      <c r="T36" s="31"/>
    </row>
    <row r="39" spans="2:20" ht="36.75" customHeight="1">
      <c r="B39" s="697" t="s">
        <v>1249</v>
      </c>
      <c r="C39" s="697"/>
      <c r="D39" s="697"/>
      <c r="E39" s="697"/>
      <c r="F39" s="697"/>
      <c r="G39" s="697"/>
      <c r="H39" s="697"/>
      <c r="I39" s="697"/>
      <c r="J39" s="697"/>
      <c r="K39" s="697"/>
      <c r="L39" s="697"/>
      <c r="M39" s="697"/>
      <c r="N39" s="697"/>
      <c r="O39" s="697"/>
      <c r="P39" s="697"/>
      <c r="Q39" s="697"/>
    </row>
    <row r="42" spans="2:20">
      <c r="B42" s="714" t="s">
        <v>1499</v>
      </c>
      <c r="C42" s="714"/>
      <c r="D42" s="714"/>
      <c r="E42" s="714"/>
      <c r="F42" s="714"/>
      <c r="G42" s="714"/>
      <c r="H42" s="714"/>
    </row>
    <row r="43" spans="2:20" s="31" customFormat="1">
      <c r="B43" s="715" t="s">
        <v>1529</v>
      </c>
    </row>
    <row r="44" spans="2:20" s="31" customFormat="1">
      <c r="B44" s="706" t="s">
        <v>1500</v>
      </c>
    </row>
    <row r="45" spans="2:20" s="31" customFormat="1">
      <c r="B45" s="31" t="s">
        <v>44</v>
      </c>
    </row>
    <row r="46" spans="2:20" s="31" customFormat="1"/>
    <row r="47" spans="2:20" s="31" customFormat="1">
      <c r="B47" s="706" t="s">
        <v>1501</v>
      </c>
    </row>
    <row r="48" spans="2:20" s="31" customFormat="1">
      <c r="B48" s="707" t="s">
        <v>1506</v>
      </c>
      <c r="C48" s="707" t="s">
        <v>1507</v>
      </c>
      <c r="D48" s="707" t="s">
        <v>1508</v>
      </c>
    </row>
    <row r="49" spans="2:4" s="31" customFormat="1" ht="30">
      <c r="B49" s="708" t="s">
        <v>1502</v>
      </c>
      <c r="C49" s="708" t="s">
        <v>1509</v>
      </c>
      <c r="D49" s="708" t="s">
        <v>1511</v>
      </c>
    </row>
    <row r="50" spans="2:4" s="31" customFormat="1" ht="30">
      <c r="B50" s="708" t="s">
        <v>1503</v>
      </c>
      <c r="C50" s="708" t="s">
        <v>1509</v>
      </c>
      <c r="D50" s="708" t="s">
        <v>1511</v>
      </c>
    </row>
    <row r="51" spans="2:4" s="31" customFormat="1" ht="90">
      <c r="B51" s="708" t="s">
        <v>1504</v>
      </c>
      <c r="C51" s="709" t="s">
        <v>1510</v>
      </c>
      <c r="D51" s="708"/>
    </row>
    <row r="52" spans="2:4" s="31" customFormat="1">
      <c r="B52" s="708" t="s">
        <v>1505</v>
      </c>
      <c r="C52" s="708"/>
      <c r="D52" s="708"/>
    </row>
    <row r="53" spans="2:4" s="31" customFormat="1" ht="15" customHeight="1">
      <c r="B53" s="708" t="s">
        <v>1512</v>
      </c>
      <c r="C53" s="708" t="s">
        <v>1509</v>
      </c>
      <c r="D53" s="708"/>
    </row>
    <row r="54" spans="2:4" ht="30">
      <c r="B54" s="710" t="s">
        <v>1513</v>
      </c>
      <c r="C54" s="708" t="s">
        <v>1515</v>
      </c>
      <c r="D54" s="710"/>
    </row>
    <row r="55" spans="2:4" ht="90">
      <c r="B55" s="710" t="s">
        <v>1514</v>
      </c>
      <c r="C55" s="708" t="s">
        <v>1516</v>
      </c>
      <c r="D55" s="708" t="s">
        <v>1517</v>
      </c>
    </row>
    <row r="57" spans="2:4">
      <c r="B57" s="711" t="s">
        <v>1518</v>
      </c>
    </row>
    <row r="58" spans="2:4">
      <c r="B58" t="s">
        <v>44</v>
      </c>
    </row>
    <row r="60" spans="2:4">
      <c r="B60" s="711" t="s">
        <v>1519</v>
      </c>
    </row>
    <row r="61" spans="2:4" ht="30">
      <c r="B61" s="135" t="s">
        <v>1524</v>
      </c>
      <c r="C61" s="10" t="s">
        <v>1520</v>
      </c>
    </row>
    <row r="62" spans="2:4" ht="90">
      <c r="B62" s="135" t="s">
        <v>1524</v>
      </c>
      <c r="C62" s="10" t="s">
        <v>1521</v>
      </c>
    </row>
    <row r="63" spans="2:4" ht="30">
      <c r="B63" s="1"/>
      <c r="C63" s="10" t="s">
        <v>1522</v>
      </c>
    </row>
    <row r="64" spans="2:4" ht="180">
      <c r="B64" s="135" t="s">
        <v>1524</v>
      </c>
      <c r="C64" s="10" t="s">
        <v>1525</v>
      </c>
    </row>
    <row r="66" spans="2:7">
      <c r="B66" s="712" t="s">
        <v>1526</v>
      </c>
    </row>
    <row r="67" spans="2:7">
      <c r="B67" t="s">
        <v>44</v>
      </c>
    </row>
    <row r="69" spans="2:7">
      <c r="B69" s="711" t="s">
        <v>1527</v>
      </c>
    </row>
    <row r="70" spans="2:7" s="69" customFormat="1" ht="138.75" customHeight="1">
      <c r="B70" s="713" t="s">
        <v>1528</v>
      </c>
      <c r="C70" s="713"/>
      <c r="D70" s="713"/>
      <c r="E70" s="713"/>
      <c r="F70" s="713"/>
      <c r="G70" s="713"/>
    </row>
    <row r="72" spans="2:7">
      <c r="B72" s="715" t="s">
        <v>1530</v>
      </c>
    </row>
    <row r="73" spans="2:7">
      <c r="B73" s="721" t="s">
        <v>1531</v>
      </c>
    </row>
    <row r="74" spans="2:7">
      <c r="B74" t="s">
        <v>44</v>
      </c>
    </row>
    <row r="76" spans="2:7">
      <c r="B76" s="721" t="s">
        <v>1532</v>
      </c>
    </row>
    <row r="77" spans="2:7" ht="105">
      <c r="B77" s="135" t="s">
        <v>1524</v>
      </c>
      <c r="C77" s="10" t="s">
        <v>1533</v>
      </c>
    </row>
    <row r="78" spans="2:7" ht="45">
      <c r="B78" s="135"/>
      <c r="C78" s="10" t="s">
        <v>1534</v>
      </c>
    </row>
    <row r="79" spans="2:7" ht="105">
      <c r="B79" s="135" t="s">
        <v>1524</v>
      </c>
      <c r="C79" s="10" t="s">
        <v>1535</v>
      </c>
    </row>
    <row r="80" spans="2:7" ht="30">
      <c r="B80" s="135"/>
      <c r="C80" s="459" t="s">
        <v>1536</v>
      </c>
    </row>
    <row r="82" spans="2:2">
      <c r="B82" s="721" t="s">
        <v>1537</v>
      </c>
    </row>
    <row r="83" spans="2:2">
      <c r="B83" t="s">
        <v>44</v>
      </c>
    </row>
    <row r="85" spans="2:2">
      <c r="B85" s="721" t="s">
        <v>1538</v>
      </c>
    </row>
    <row r="86" spans="2:2">
      <c r="B86" t="s">
        <v>1539</v>
      </c>
    </row>
    <row r="88" spans="2:2">
      <c r="B88" s="721" t="s">
        <v>1540</v>
      </c>
    </row>
    <row r="89" spans="2:2">
      <c r="B89" t="s">
        <v>44</v>
      </c>
    </row>
    <row r="91" spans="2:2">
      <c r="B91" s="721" t="s">
        <v>1541</v>
      </c>
    </row>
    <row r="92" spans="2:2">
      <c r="B92" s="705" t="s">
        <v>1542</v>
      </c>
    </row>
    <row r="93" spans="2:2">
      <c r="B93" t="s">
        <v>1543</v>
      </c>
    </row>
    <row r="95" spans="2:2">
      <c r="B95" s="721" t="s">
        <v>1544</v>
      </c>
    </row>
    <row r="96" spans="2:2">
      <c r="B96" t="s">
        <v>44</v>
      </c>
    </row>
    <row r="98" spans="2:8">
      <c r="B98" s="721" t="s">
        <v>1545</v>
      </c>
    </row>
    <row r="99" spans="2:8">
      <c r="B99" t="s">
        <v>1546</v>
      </c>
    </row>
    <row r="101" spans="2:8">
      <c r="B101" s="721" t="s">
        <v>1547</v>
      </c>
    </row>
    <row r="102" spans="2:8">
      <c r="B102" t="s">
        <v>44</v>
      </c>
    </row>
    <row r="104" spans="2:8">
      <c r="B104" s="721" t="s">
        <v>1548</v>
      </c>
    </row>
    <row r="105" spans="2:8" ht="97.5" customHeight="1">
      <c r="B105" s="713" t="s">
        <v>1549</v>
      </c>
      <c r="C105" s="713"/>
      <c r="D105" s="713"/>
      <c r="E105" s="713"/>
      <c r="F105" s="713"/>
      <c r="G105" s="713"/>
      <c r="H105" s="713"/>
    </row>
    <row r="107" spans="2:8">
      <c r="B107" s="721" t="s">
        <v>1550</v>
      </c>
    </row>
    <row r="108" spans="2:8">
      <c r="B108" t="s">
        <v>1551</v>
      </c>
    </row>
    <row r="110" spans="2:8">
      <c r="B110" s="721" t="s">
        <v>1552</v>
      </c>
    </row>
    <row r="111" spans="2:8" ht="45">
      <c r="B111" s="10" t="s">
        <v>1553</v>
      </c>
      <c r="C111" s="135"/>
    </row>
    <row r="112" spans="2:8" ht="105">
      <c r="B112" s="10" t="s">
        <v>1554</v>
      </c>
      <c r="C112" s="135" t="s">
        <v>1524</v>
      </c>
    </row>
    <row r="113" spans="2:4" ht="75">
      <c r="B113" s="10" t="s">
        <v>1555</v>
      </c>
      <c r="C113" s="135" t="s">
        <v>1524</v>
      </c>
    </row>
    <row r="114" spans="2:4" ht="75">
      <c r="B114" s="10" t="s">
        <v>1556</v>
      </c>
      <c r="C114" s="135"/>
    </row>
    <row r="115" spans="2:4" ht="75">
      <c r="B115" s="10" t="s">
        <v>1557</v>
      </c>
      <c r="C115" s="135" t="s">
        <v>1524</v>
      </c>
    </row>
    <row r="116" spans="2:4" ht="105">
      <c r="B116" s="10" t="s">
        <v>1558</v>
      </c>
      <c r="C116" s="135" t="s">
        <v>1524</v>
      </c>
    </row>
    <row r="117" spans="2:4">
      <c r="B117" s="1" t="s">
        <v>1523</v>
      </c>
      <c r="C117" s="135"/>
    </row>
    <row r="120" spans="2:4">
      <c r="B120" s="721" t="s">
        <v>1559</v>
      </c>
    </row>
    <row r="121" spans="2:4">
      <c r="B121" s="721" t="s">
        <v>1560</v>
      </c>
    </row>
    <row r="122" spans="2:4">
      <c r="B122" s="721" t="s">
        <v>1561</v>
      </c>
    </row>
    <row r="123" spans="2:4">
      <c r="B123" s="721" t="s">
        <v>1562</v>
      </c>
    </row>
    <row r="124" spans="2:4">
      <c r="B124" s="721" t="s">
        <v>1563</v>
      </c>
    </row>
    <row r="125" spans="2:4">
      <c r="B125" s="721" t="s">
        <v>1564</v>
      </c>
    </row>
    <row r="126" spans="2:4">
      <c r="B126" s="721" t="s">
        <v>1565</v>
      </c>
    </row>
    <row r="127" spans="2:4">
      <c r="B127" s="716"/>
      <c r="C127" s="717" t="s">
        <v>1572</v>
      </c>
      <c r="D127" s="717" t="s">
        <v>1573</v>
      </c>
    </row>
    <row r="128" spans="2:4" ht="45">
      <c r="B128" s="10" t="s">
        <v>1567</v>
      </c>
      <c r="C128" s="135">
        <v>4</v>
      </c>
      <c r="D128" s="135">
        <v>4</v>
      </c>
    </row>
    <row r="129" spans="2:6" ht="60">
      <c r="B129" s="10" t="s">
        <v>1568</v>
      </c>
      <c r="C129" s="135">
        <v>4</v>
      </c>
      <c r="D129" s="135">
        <v>4</v>
      </c>
    </row>
    <row r="130" spans="2:6" ht="60">
      <c r="B130" s="10" t="s">
        <v>1566</v>
      </c>
      <c r="C130" s="135">
        <v>3</v>
      </c>
      <c r="D130" s="135">
        <v>1</v>
      </c>
    </row>
    <row r="131" spans="2:6" ht="45">
      <c r="B131" s="10" t="s">
        <v>1569</v>
      </c>
      <c r="C131" s="135">
        <v>4</v>
      </c>
      <c r="D131" s="135">
        <v>1</v>
      </c>
    </row>
    <row r="132" spans="2:6" ht="45">
      <c r="B132" s="10" t="s">
        <v>1570</v>
      </c>
      <c r="C132" s="135">
        <v>4</v>
      </c>
      <c r="D132" s="135">
        <v>4</v>
      </c>
    </row>
    <row r="133" spans="2:6" ht="60">
      <c r="B133" s="10" t="s">
        <v>1571</v>
      </c>
      <c r="C133" s="135">
        <v>1</v>
      </c>
      <c r="D133" s="135">
        <v>1</v>
      </c>
    </row>
    <row r="136" spans="2:6">
      <c r="B136" s="724" t="s">
        <v>1574</v>
      </c>
    </row>
    <row r="137" spans="2:6">
      <c r="B137" t="s">
        <v>1575</v>
      </c>
    </row>
    <row r="139" spans="2:6">
      <c r="B139" s="721" t="s">
        <v>1576</v>
      </c>
    </row>
    <row r="140" spans="2:6">
      <c r="B140" s="31" t="s">
        <v>1578</v>
      </c>
    </row>
    <row r="141" spans="2:6">
      <c r="B141" s="31" t="s">
        <v>1579</v>
      </c>
    </row>
    <row r="142" spans="2:6">
      <c r="B142" t="s">
        <v>1577</v>
      </c>
    </row>
    <row r="144" spans="2:6">
      <c r="B144" s="723" t="s">
        <v>1580</v>
      </c>
      <c r="C144" s="723"/>
      <c r="D144" s="723"/>
      <c r="E144" s="723"/>
      <c r="F144" s="723"/>
    </row>
    <row r="145" spans="2:6">
      <c r="B145" s="723"/>
      <c r="C145" s="723"/>
      <c r="D145" s="723"/>
      <c r="E145" s="723"/>
      <c r="F145" s="723"/>
    </row>
    <row r="146" spans="2:6">
      <c r="B146" t="s">
        <v>1551</v>
      </c>
    </row>
    <row r="148" spans="2:6">
      <c r="B148" s="723" t="s">
        <v>1581</v>
      </c>
      <c r="C148" s="723"/>
      <c r="D148" s="723"/>
      <c r="E148" s="723"/>
      <c r="F148" s="723"/>
    </row>
    <row r="149" spans="2:6">
      <c r="B149" s="723"/>
      <c r="C149" s="723"/>
      <c r="D149" s="723"/>
      <c r="E149" s="723"/>
      <c r="F149" s="723"/>
    </row>
    <row r="150" spans="2:6">
      <c r="B150" t="s">
        <v>44</v>
      </c>
    </row>
    <row r="151" spans="2:6">
      <c r="B151" s="718" t="s">
        <v>1524</v>
      </c>
      <c r="C151" s="10" t="s">
        <v>1582</v>
      </c>
    </row>
    <row r="152" spans="2:6">
      <c r="B152" s="718"/>
      <c r="C152" s="10" t="s">
        <v>1583</v>
      </c>
    </row>
    <row r="153" spans="2:6">
      <c r="B153" s="718" t="s">
        <v>1524</v>
      </c>
      <c r="C153" s="10" t="s">
        <v>1584</v>
      </c>
    </row>
    <row r="154" spans="2:6">
      <c r="B154" s="718" t="s">
        <v>1524</v>
      </c>
      <c r="C154" s="10" t="s">
        <v>1585</v>
      </c>
    </row>
    <row r="155" spans="2:6">
      <c r="B155" s="718" t="s">
        <v>1524</v>
      </c>
      <c r="C155" s="10" t="s">
        <v>1586</v>
      </c>
    </row>
    <row r="156" spans="2:6">
      <c r="B156" s="718" t="s">
        <v>1524</v>
      </c>
      <c r="C156" s="10" t="s">
        <v>1587</v>
      </c>
    </row>
    <row r="157" spans="2:6" ht="60">
      <c r="B157" s="718" t="s">
        <v>1524</v>
      </c>
      <c r="C157" s="10" t="s">
        <v>1588</v>
      </c>
    </row>
    <row r="159" spans="2:6">
      <c r="B159" s="722" t="s">
        <v>1589</v>
      </c>
    </row>
    <row r="160" spans="2:6">
      <c r="B160" s="719" t="s">
        <v>44</v>
      </c>
    </row>
    <row r="162" spans="2:6">
      <c r="B162" s="721" t="s">
        <v>1590</v>
      </c>
    </row>
    <row r="163" spans="2:6">
      <c r="B163" t="s">
        <v>1591</v>
      </c>
    </row>
    <row r="164" spans="2:6">
      <c r="B164" s="720" t="s">
        <v>1592</v>
      </c>
    </row>
    <row r="165" spans="2:6">
      <c r="B165" s="720" t="s">
        <v>1593</v>
      </c>
    </row>
    <row r="167" spans="2:6">
      <c r="B167" s="721" t="s">
        <v>1594</v>
      </c>
    </row>
    <row r="168" spans="2:6" ht="74.25" customHeight="1">
      <c r="B168" s="713" t="s">
        <v>1595</v>
      </c>
      <c r="C168" s="713"/>
      <c r="D168" s="713"/>
      <c r="E168" s="713"/>
      <c r="F168" s="713"/>
    </row>
  </sheetData>
  <mergeCells count="31">
    <mergeCell ref="B168:F168"/>
    <mergeCell ref="B42:H42"/>
    <mergeCell ref="B70:G70"/>
    <mergeCell ref="B105:H105"/>
    <mergeCell ref="B144:F145"/>
    <mergeCell ref="B148:F149"/>
    <mergeCell ref="B36:Q36"/>
    <mergeCell ref="B39:Q39"/>
    <mergeCell ref="B28:Q28"/>
    <mergeCell ref="B23:Q23"/>
    <mergeCell ref="B22:Q22"/>
    <mergeCell ref="B25:Q25"/>
    <mergeCell ref="B26:Q26"/>
    <mergeCell ref="B29:Q29"/>
    <mergeCell ref="B32:Q32"/>
    <mergeCell ref="B33:Q33"/>
    <mergeCell ref="B35:Q35"/>
    <mergeCell ref="B20:Q20"/>
    <mergeCell ref="B15:H15"/>
    <mergeCell ref="B3:Q3"/>
    <mergeCell ref="B5:Q5"/>
    <mergeCell ref="B2:Q2"/>
    <mergeCell ref="B4:Q4"/>
    <mergeCell ref="B7:Q7"/>
    <mergeCell ref="B6:Q6"/>
    <mergeCell ref="B8:Q8"/>
    <mergeCell ref="B18:Q18"/>
    <mergeCell ref="B17:Q17"/>
    <mergeCell ref="B9:P9"/>
    <mergeCell ref="C12:O12"/>
    <mergeCell ref="C11:O1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C4:F149"/>
  <sheetViews>
    <sheetView zoomScale="80" zoomScaleNormal="80" workbookViewId="0">
      <selection activeCell="D2" sqref="D2"/>
    </sheetView>
  </sheetViews>
  <sheetFormatPr defaultRowHeight="15"/>
  <cols>
    <col min="3" max="3" width="16.7109375" style="60" customWidth="1"/>
    <col min="4" max="4" width="105.7109375" customWidth="1"/>
    <col min="5" max="5" width="10.140625" bestFit="1" customWidth="1"/>
    <col min="6" max="6" width="15.140625" customWidth="1"/>
    <col min="7" max="7" width="25.5703125" customWidth="1"/>
  </cols>
  <sheetData>
    <row r="4" spans="3:4" ht="45" customHeight="1">
      <c r="C4" s="703" t="s">
        <v>1250</v>
      </c>
      <c r="D4" s="703"/>
    </row>
    <row r="5" spans="3:4" ht="19.5">
      <c r="C5" s="57"/>
      <c r="D5" s="1"/>
    </row>
    <row r="6" spans="3:4" ht="15.75">
      <c r="C6" s="58" t="s">
        <v>1251</v>
      </c>
      <c r="D6" s="10" t="s">
        <v>1252</v>
      </c>
    </row>
    <row r="7" spans="3:4" ht="45">
      <c r="C7" s="58">
        <v>11</v>
      </c>
      <c r="D7" s="10" t="s">
        <v>1253</v>
      </c>
    </row>
    <row r="8" spans="3:4" ht="60">
      <c r="C8" s="58">
        <v>13</v>
      </c>
      <c r="D8" s="10" t="s">
        <v>1254</v>
      </c>
    </row>
    <row r="9" spans="3:4" ht="60">
      <c r="C9" s="58">
        <v>14</v>
      </c>
      <c r="D9" s="10" t="s">
        <v>1255</v>
      </c>
    </row>
    <row r="10" spans="3:4" ht="45">
      <c r="C10" s="58">
        <v>17</v>
      </c>
      <c r="D10" s="10" t="s">
        <v>1256</v>
      </c>
    </row>
    <row r="11" spans="3:4" ht="60">
      <c r="C11" s="58">
        <v>19</v>
      </c>
      <c r="D11" s="10" t="s">
        <v>1257</v>
      </c>
    </row>
    <row r="12" spans="3:4" ht="60">
      <c r="C12" s="58">
        <v>27</v>
      </c>
      <c r="D12" s="10" t="s">
        <v>1258</v>
      </c>
    </row>
    <row r="13" spans="3:4" ht="45">
      <c r="C13" s="59">
        <v>29</v>
      </c>
      <c r="D13" s="10" t="s">
        <v>1259</v>
      </c>
    </row>
    <row r="14" spans="3:4" ht="30">
      <c r="C14" s="59">
        <v>29</v>
      </c>
      <c r="D14" s="10" t="s">
        <v>1260</v>
      </c>
    </row>
    <row r="15" spans="3:4" ht="45">
      <c r="C15" s="59">
        <v>41</v>
      </c>
      <c r="D15" s="10" t="s">
        <v>1261</v>
      </c>
    </row>
    <row r="16" spans="3:4" ht="64.5" customHeight="1">
      <c r="C16" s="59">
        <v>42</v>
      </c>
      <c r="D16" s="10" t="s">
        <v>1262</v>
      </c>
    </row>
    <row r="17" spans="3:4" ht="45">
      <c r="C17" s="59">
        <v>62</v>
      </c>
      <c r="D17" s="10" t="s">
        <v>1263</v>
      </c>
    </row>
    <row r="18" spans="3:4" ht="45">
      <c r="C18" s="59">
        <v>81</v>
      </c>
      <c r="D18" s="10" t="s">
        <v>1264</v>
      </c>
    </row>
    <row r="19" spans="3:4" ht="60">
      <c r="C19" s="59">
        <v>87</v>
      </c>
      <c r="D19" s="10" t="s">
        <v>1265</v>
      </c>
    </row>
    <row r="20" spans="3:4" ht="45">
      <c r="C20" s="59">
        <v>88</v>
      </c>
      <c r="D20" s="10" t="s">
        <v>1266</v>
      </c>
    </row>
    <row r="21" spans="3:4" ht="60">
      <c r="C21" s="59">
        <v>94</v>
      </c>
      <c r="D21" s="10" t="s">
        <v>1267</v>
      </c>
    </row>
    <row r="22" spans="3:4" ht="45">
      <c r="C22" s="59">
        <v>95</v>
      </c>
      <c r="D22" s="10" t="s">
        <v>1268</v>
      </c>
    </row>
    <row r="23" spans="3:4" ht="45">
      <c r="C23" s="59">
        <v>96</v>
      </c>
      <c r="D23" s="10" t="s">
        <v>1269</v>
      </c>
    </row>
    <row r="24" spans="3:4" ht="45">
      <c r="C24" s="59">
        <v>101</v>
      </c>
      <c r="D24" s="10" t="s">
        <v>1270</v>
      </c>
    </row>
    <row r="25" spans="3:4" ht="45">
      <c r="C25" s="59">
        <v>105</v>
      </c>
      <c r="D25" s="10" t="s">
        <v>1271</v>
      </c>
    </row>
    <row r="26" spans="3:4" ht="60">
      <c r="C26" s="59">
        <v>106</v>
      </c>
      <c r="D26" s="10" t="s">
        <v>1272</v>
      </c>
    </row>
    <row r="27" spans="3:4" ht="60">
      <c r="C27" s="59">
        <v>112</v>
      </c>
      <c r="D27" s="10" t="s">
        <v>1273</v>
      </c>
    </row>
    <row r="28" spans="3:4" ht="60">
      <c r="C28" s="59">
        <v>118</v>
      </c>
      <c r="D28" s="10" t="s">
        <v>1274</v>
      </c>
    </row>
    <row r="29" spans="3:4" ht="45">
      <c r="C29" s="59">
        <v>122</v>
      </c>
      <c r="D29" s="10" t="s">
        <v>1275</v>
      </c>
    </row>
    <row r="30" spans="3:4" ht="60">
      <c r="C30" s="59">
        <v>135</v>
      </c>
      <c r="D30" s="10" t="s">
        <v>1276</v>
      </c>
    </row>
    <row r="31" spans="3:4" ht="60">
      <c r="C31" s="59">
        <v>144</v>
      </c>
      <c r="D31" s="10" t="s">
        <v>1277</v>
      </c>
    </row>
    <row r="32" spans="3:4" ht="60">
      <c r="C32" s="59">
        <v>150</v>
      </c>
      <c r="D32" s="10" t="s">
        <v>1278</v>
      </c>
    </row>
    <row r="33" spans="3:6" ht="60">
      <c r="C33" s="135">
        <v>151</v>
      </c>
      <c r="D33" s="10" t="s">
        <v>1279</v>
      </c>
    </row>
    <row r="34" spans="3:6" ht="45">
      <c r="C34" s="135"/>
      <c r="D34" s="10" t="s">
        <v>1280</v>
      </c>
    </row>
    <row r="35" spans="3:6" ht="30">
      <c r="C35" s="135"/>
      <c r="D35" s="10" t="s">
        <v>1281</v>
      </c>
    </row>
    <row r="36" spans="3:6">
      <c r="C36" s="135"/>
      <c r="D36" s="1"/>
    </row>
    <row r="37" spans="3:6">
      <c r="C37" s="135"/>
      <c r="D37" s="1"/>
    </row>
    <row r="38" spans="3:6">
      <c r="C38" s="135"/>
      <c r="D38" s="1"/>
    </row>
    <row r="39" spans="3:6">
      <c r="C39" s="135"/>
      <c r="D39" s="1"/>
    </row>
    <row r="43" spans="3:6" s="70" customFormat="1"/>
    <row r="44" spans="3:6" s="70" customFormat="1">
      <c r="C44" s="450" t="s">
        <v>1282</v>
      </c>
      <c r="D44" s="451" t="s">
        <v>1283</v>
      </c>
      <c r="E44" s="451" t="s">
        <v>1284</v>
      </c>
      <c r="F44" s="451" t="s">
        <v>1285</v>
      </c>
    </row>
    <row r="45" spans="3:6" s="70" customFormat="1">
      <c r="C45" s="452" t="s">
        <v>1286</v>
      </c>
      <c r="D45" s="13"/>
      <c r="E45" s="13"/>
      <c r="F45" s="13"/>
    </row>
    <row r="46" spans="3:6" s="70" customFormat="1">
      <c r="C46" s="453" t="s">
        <v>1287</v>
      </c>
      <c r="D46" s="454">
        <v>27926</v>
      </c>
      <c r="E46" s="13" t="s">
        <v>1288</v>
      </c>
      <c r="F46" s="13"/>
    </row>
    <row r="47" spans="3:6" s="70" customFormat="1">
      <c r="C47" s="453" t="s">
        <v>1289</v>
      </c>
      <c r="D47" s="454">
        <v>27926</v>
      </c>
      <c r="E47" s="13" t="s">
        <v>1288</v>
      </c>
      <c r="F47" s="13"/>
    </row>
    <row r="48" spans="3:6" s="70" customFormat="1">
      <c r="C48" s="453" t="s">
        <v>1290</v>
      </c>
      <c r="D48" s="454">
        <v>35221</v>
      </c>
      <c r="E48" s="13" t="s">
        <v>1288</v>
      </c>
      <c r="F48" s="13"/>
    </row>
    <row r="49" spans="3:6" s="70" customFormat="1">
      <c r="C49" s="453" t="s">
        <v>1291</v>
      </c>
      <c r="D49" s="454">
        <v>42739</v>
      </c>
      <c r="E49" s="13" t="s">
        <v>1288</v>
      </c>
      <c r="F49" s="13"/>
    </row>
    <row r="50" spans="3:6" s="70" customFormat="1">
      <c r="C50" s="453" t="s">
        <v>1292</v>
      </c>
      <c r="D50" s="454">
        <v>27926</v>
      </c>
      <c r="E50" s="13" t="s">
        <v>1288</v>
      </c>
      <c r="F50" s="13"/>
    </row>
    <row r="51" spans="3:6" s="70" customFormat="1">
      <c r="C51" s="453" t="s">
        <v>1293</v>
      </c>
      <c r="D51" s="454">
        <v>42739</v>
      </c>
      <c r="E51" s="13" t="s">
        <v>1288</v>
      </c>
      <c r="F51" s="13"/>
    </row>
    <row r="52" spans="3:6" s="70" customFormat="1">
      <c r="C52" s="453" t="s">
        <v>1294</v>
      </c>
      <c r="D52" s="454">
        <v>43115</v>
      </c>
      <c r="E52" s="13" t="s">
        <v>1288</v>
      </c>
      <c r="F52" s="13"/>
    </row>
    <row r="53" spans="3:6" s="70" customFormat="1">
      <c r="C53" s="453" t="s">
        <v>1295</v>
      </c>
      <c r="D53" s="454">
        <v>38819</v>
      </c>
      <c r="E53" s="13" t="s">
        <v>1288</v>
      </c>
      <c r="F53" s="13"/>
    </row>
    <row r="54" spans="3:6" s="70" customFormat="1">
      <c r="C54" s="13"/>
      <c r="D54" s="13"/>
      <c r="E54" s="13"/>
      <c r="F54" s="13"/>
    </row>
    <row r="55" spans="3:6" s="70" customFormat="1">
      <c r="C55" s="452" t="s">
        <v>1296</v>
      </c>
      <c r="D55" s="13"/>
      <c r="E55" s="13"/>
      <c r="F55" s="13"/>
    </row>
    <row r="56" spans="3:6" s="70" customFormat="1">
      <c r="C56" s="13" t="s">
        <v>1297</v>
      </c>
      <c r="D56" s="454">
        <v>27926</v>
      </c>
      <c r="E56" s="13" t="s">
        <v>1288</v>
      </c>
      <c r="F56" s="13"/>
    </row>
    <row r="57" spans="3:6" s="70" customFormat="1">
      <c r="C57" s="13" t="s">
        <v>1298</v>
      </c>
      <c r="D57" s="454">
        <v>27926</v>
      </c>
      <c r="E57" s="13" t="s">
        <v>1288</v>
      </c>
      <c r="F57" s="13"/>
    </row>
    <row r="58" spans="3:6" s="70" customFormat="1" ht="75">
      <c r="C58" s="13" t="s">
        <v>1299</v>
      </c>
      <c r="D58" s="454">
        <v>45624</v>
      </c>
      <c r="E58" s="13" t="s">
        <v>1300</v>
      </c>
      <c r="F58" s="360" t="s">
        <v>1301</v>
      </c>
    </row>
    <row r="59" spans="3:6" s="70" customFormat="1">
      <c r="C59" s="13" t="s">
        <v>1302</v>
      </c>
      <c r="D59" s="454">
        <v>29175</v>
      </c>
      <c r="E59" s="13" t="s">
        <v>1288</v>
      </c>
      <c r="F59" s="13"/>
    </row>
    <row r="60" spans="3:6" s="70" customFormat="1">
      <c r="C60" s="13"/>
      <c r="D60" s="13"/>
      <c r="E60" s="13"/>
      <c r="F60" s="13"/>
    </row>
    <row r="61" spans="3:6" s="70" customFormat="1">
      <c r="C61" s="16" t="s">
        <v>1303</v>
      </c>
      <c r="D61" s="13"/>
      <c r="E61" s="13"/>
      <c r="F61" s="13"/>
    </row>
    <row r="62" spans="3:6" s="70" customFormat="1">
      <c r="C62" s="13" t="s">
        <v>1304</v>
      </c>
      <c r="D62" s="454">
        <v>27926</v>
      </c>
      <c r="E62" s="13" t="s">
        <v>1288</v>
      </c>
      <c r="F62" s="13"/>
    </row>
    <row r="63" spans="3:6" s="70" customFormat="1">
      <c r="C63" s="13" t="s">
        <v>1305</v>
      </c>
      <c r="D63" s="454">
        <v>27926</v>
      </c>
      <c r="E63" s="13" t="s">
        <v>1288</v>
      </c>
      <c r="F63" s="13"/>
    </row>
    <row r="64" spans="3:6" s="70" customFormat="1">
      <c r="C64" s="13" t="s">
        <v>1306</v>
      </c>
      <c r="D64" s="454">
        <v>27926</v>
      </c>
      <c r="E64" s="13" t="s">
        <v>1288</v>
      </c>
      <c r="F64" s="13"/>
    </row>
    <row r="65" spans="3:6" s="70" customFormat="1">
      <c r="C65" s="13" t="s">
        <v>1307</v>
      </c>
      <c r="D65" s="454">
        <v>27926</v>
      </c>
      <c r="E65" s="13" t="s">
        <v>1288</v>
      </c>
      <c r="F65" s="13"/>
    </row>
    <row r="66" spans="3:6" s="70" customFormat="1">
      <c r="C66" s="13" t="s">
        <v>1308</v>
      </c>
      <c r="D66" s="454">
        <v>27926</v>
      </c>
      <c r="E66" s="13" t="s">
        <v>1288</v>
      </c>
      <c r="F66" s="13"/>
    </row>
    <row r="67" spans="3:6" s="70" customFormat="1">
      <c r="C67" s="13" t="s">
        <v>1309</v>
      </c>
      <c r="D67" s="454">
        <v>27926</v>
      </c>
      <c r="E67" s="13" t="s">
        <v>1288</v>
      </c>
      <c r="F67" s="13"/>
    </row>
    <row r="68" spans="3:6" s="70" customFormat="1" ht="120">
      <c r="C68" s="13" t="s">
        <v>1310</v>
      </c>
      <c r="D68" s="454">
        <v>27926</v>
      </c>
      <c r="E68" s="13" t="s">
        <v>1300</v>
      </c>
      <c r="F68" s="360" t="s">
        <v>1311</v>
      </c>
    </row>
    <row r="69" spans="3:6" s="70" customFormat="1">
      <c r="C69" s="13" t="s">
        <v>1312</v>
      </c>
      <c r="D69" s="454">
        <v>27926</v>
      </c>
      <c r="E69" s="13" t="s">
        <v>1288</v>
      </c>
      <c r="F69" s="13"/>
    </row>
    <row r="70" spans="3:6" s="70" customFormat="1" ht="120">
      <c r="C70" s="13" t="s">
        <v>1313</v>
      </c>
      <c r="D70" s="454">
        <v>27926</v>
      </c>
      <c r="E70" s="13" t="s">
        <v>1300</v>
      </c>
      <c r="F70" s="360" t="s">
        <v>1314</v>
      </c>
    </row>
    <row r="71" spans="3:6" s="70" customFormat="1">
      <c r="C71" s="13" t="s">
        <v>1315</v>
      </c>
      <c r="D71" s="454">
        <v>27926</v>
      </c>
      <c r="E71" s="13" t="s">
        <v>1288</v>
      </c>
      <c r="F71" s="13"/>
    </row>
    <row r="72" spans="3:6" s="70" customFormat="1">
      <c r="C72" s="13" t="s">
        <v>1316</v>
      </c>
      <c r="D72" s="454">
        <v>27926</v>
      </c>
      <c r="E72" s="13" t="s">
        <v>1288</v>
      </c>
      <c r="F72" s="13"/>
    </row>
    <row r="73" spans="3:6" s="70" customFormat="1">
      <c r="C73" s="13" t="s">
        <v>1317</v>
      </c>
      <c r="D73" s="454">
        <v>27926</v>
      </c>
      <c r="E73" s="13" t="s">
        <v>1288</v>
      </c>
      <c r="F73" s="13"/>
    </row>
    <row r="74" spans="3:6" s="70" customFormat="1" ht="75">
      <c r="C74" s="13" t="s">
        <v>1318</v>
      </c>
      <c r="D74" s="454">
        <v>27926</v>
      </c>
      <c r="E74" s="13" t="s">
        <v>1300</v>
      </c>
      <c r="F74" s="360" t="s">
        <v>1319</v>
      </c>
    </row>
    <row r="75" spans="3:6" s="70" customFormat="1">
      <c r="C75" s="13" t="s">
        <v>1320</v>
      </c>
      <c r="D75" s="454">
        <v>27926</v>
      </c>
      <c r="E75" s="13" t="s">
        <v>1288</v>
      </c>
      <c r="F75" s="13"/>
    </row>
    <row r="76" spans="3:6" s="70" customFormat="1" ht="75">
      <c r="C76" s="13" t="s">
        <v>1321</v>
      </c>
      <c r="D76" s="454">
        <v>45624</v>
      </c>
      <c r="E76" s="13" t="s">
        <v>1300</v>
      </c>
      <c r="F76" s="360" t="s">
        <v>1301</v>
      </c>
    </row>
    <row r="77" spans="3:6" s="70" customFormat="1">
      <c r="C77" s="13" t="s">
        <v>1322</v>
      </c>
      <c r="D77" s="454">
        <v>27926</v>
      </c>
      <c r="E77" s="13" t="s">
        <v>1288</v>
      </c>
      <c r="F77" s="13"/>
    </row>
    <row r="78" spans="3:6" s="70" customFormat="1" ht="75">
      <c r="C78" s="13" t="s">
        <v>1323</v>
      </c>
      <c r="D78" s="454">
        <v>27926</v>
      </c>
      <c r="E78" s="13" t="s">
        <v>1300</v>
      </c>
      <c r="F78" s="360" t="s">
        <v>1324</v>
      </c>
    </row>
    <row r="79" spans="3:6" s="70" customFormat="1">
      <c r="C79" s="13" t="s">
        <v>1325</v>
      </c>
      <c r="D79" s="454">
        <v>27926</v>
      </c>
      <c r="E79" s="13" t="s">
        <v>1288</v>
      </c>
      <c r="F79" s="13"/>
    </row>
    <row r="80" spans="3:6" s="70" customFormat="1" ht="75">
      <c r="C80" s="13" t="s">
        <v>1326</v>
      </c>
      <c r="D80" s="454">
        <v>45624</v>
      </c>
      <c r="E80" s="13" t="s">
        <v>1300</v>
      </c>
      <c r="F80" s="360" t="s">
        <v>1301</v>
      </c>
    </row>
    <row r="81" spans="3:6" s="70" customFormat="1">
      <c r="C81" s="13" t="s">
        <v>1327</v>
      </c>
      <c r="D81" s="454">
        <v>27926</v>
      </c>
      <c r="E81" s="13" t="s">
        <v>1288</v>
      </c>
      <c r="F81" s="13"/>
    </row>
    <row r="82" spans="3:6" s="70" customFormat="1">
      <c r="C82" s="13" t="s">
        <v>1328</v>
      </c>
      <c r="D82" s="454">
        <v>29858</v>
      </c>
      <c r="E82" s="13" t="s">
        <v>1288</v>
      </c>
      <c r="F82" s="13"/>
    </row>
    <row r="83" spans="3:6" s="70" customFormat="1">
      <c r="C83" s="13" t="s">
        <v>1329</v>
      </c>
      <c r="D83" s="454">
        <v>29858</v>
      </c>
      <c r="E83" s="13" t="s">
        <v>1288</v>
      </c>
      <c r="F83" s="13"/>
    </row>
    <row r="84" spans="3:6" s="70" customFormat="1">
      <c r="C84" s="13" t="s">
        <v>1330</v>
      </c>
      <c r="D84" s="454">
        <v>35221</v>
      </c>
      <c r="E84" s="13" t="s">
        <v>1288</v>
      </c>
      <c r="F84" s="13"/>
    </row>
    <row r="85" spans="3:6" s="70" customFormat="1">
      <c r="C85" s="13" t="s">
        <v>1331</v>
      </c>
      <c r="D85" s="454">
        <v>38819</v>
      </c>
      <c r="E85" s="13" t="s">
        <v>1288</v>
      </c>
      <c r="F85" s="13"/>
    </row>
    <row r="86" spans="3:6" s="70" customFormat="1" ht="75">
      <c r="C86" s="13" t="s">
        <v>1332</v>
      </c>
      <c r="D86" s="454">
        <v>45624</v>
      </c>
      <c r="E86" s="13" t="s">
        <v>1300</v>
      </c>
      <c r="F86" s="360" t="s">
        <v>1301</v>
      </c>
    </row>
    <row r="87" spans="3:6" s="70" customFormat="1">
      <c r="C87" s="194" t="s">
        <v>1333</v>
      </c>
      <c r="D87" s="455"/>
      <c r="F87" s="456"/>
    </row>
    <row r="88" spans="3:6" s="70" customFormat="1">
      <c r="C88" s="195" t="s">
        <v>1334</v>
      </c>
      <c r="D88" s="455"/>
      <c r="F88" s="456"/>
    </row>
    <row r="89" spans="3:6" s="70" customFormat="1"/>
    <row r="90" spans="3:6" s="70" customFormat="1">
      <c r="D90" s="450" t="s">
        <v>1335</v>
      </c>
    </row>
    <row r="91" spans="3:6" s="70" customFormat="1">
      <c r="D91" s="452" t="s">
        <v>1286</v>
      </c>
    </row>
    <row r="92" spans="3:6" s="70" customFormat="1">
      <c r="D92" s="13" t="s">
        <v>1336</v>
      </c>
    </row>
    <row r="93" spans="3:6" s="70" customFormat="1">
      <c r="D93" s="13" t="s">
        <v>1337</v>
      </c>
    </row>
    <row r="94" spans="3:6" s="70" customFormat="1">
      <c r="D94" s="13"/>
    </row>
    <row r="95" spans="3:6" s="70" customFormat="1">
      <c r="D95" s="452" t="s">
        <v>1303</v>
      </c>
    </row>
    <row r="96" spans="3:6" s="70" customFormat="1">
      <c r="D96" s="13" t="s">
        <v>1338</v>
      </c>
    </row>
    <row r="97" spans="4:4" s="70" customFormat="1">
      <c r="D97" s="13" t="s">
        <v>1339</v>
      </c>
    </row>
    <row r="98" spans="4:4" s="70" customFormat="1">
      <c r="D98" s="13" t="s">
        <v>1340</v>
      </c>
    </row>
    <row r="99" spans="4:4" s="70" customFormat="1">
      <c r="D99" s="13" t="s">
        <v>1341</v>
      </c>
    </row>
    <row r="100" spans="4:4" s="70" customFormat="1">
      <c r="D100" s="13" t="s">
        <v>1342</v>
      </c>
    </row>
    <row r="101" spans="4:4" s="70" customFormat="1">
      <c r="D101" s="13" t="s">
        <v>1343</v>
      </c>
    </row>
    <row r="102" spans="4:4" s="70" customFormat="1">
      <c r="D102" s="13" t="s">
        <v>1344</v>
      </c>
    </row>
    <row r="103" spans="4:4" s="70" customFormat="1">
      <c r="D103" s="13" t="s">
        <v>1345</v>
      </c>
    </row>
    <row r="104" spans="4:4" s="70" customFormat="1">
      <c r="D104" s="13" t="s">
        <v>1346</v>
      </c>
    </row>
    <row r="105" spans="4:4" s="70" customFormat="1">
      <c r="D105" s="13" t="s">
        <v>1347</v>
      </c>
    </row>
    <row r="106" spans="4:4" s="70" customFormat="1">
      <c r="D106" s="13" t="s">
        <v>1348</v>
      </c>
    </row>
    <row r="107" spans="4:4" s="70" customFormat="1">
      <c r="D107" s="13" t="s">
        <v>1349</v>
      </c>
    </row>
    <row r="108" spans="4:4" s="70" customFormat="1">
      <c r="D108" s="13" t="s">
        <v>1350</v>
      </c>
    </row>
    <row r="109" spans="4:4" s="70" customFormat="1">
      <c r="D109" s="13" t="s">
        <v>1351</v>
      </c>
    </row>
    <row r="110" spans="4:4" s="70" customFormat="1">
      <c r="D110" s="13" t="s">
        <v>1352</v>
      </c>
    </row>
    <row r="111" spans="4:4" s="70" customFormat="1">
      <c r="D111" s="13" t="s">
        <v>1353</v>
      </c>
    </row>
    <row r="112" spans="4:4" s="70" customFormat="1">
      <c r="D112" s="13" t="s">
        <v>1354</v>
      </c>
    </row>
    <row r="113" spans="4:4" s="70" customFormat="1">
      <c r="D113" s="13" t="s">
        <v>1355</v>
      </c>
    </row>
    <row r="114" spans="4:4" s="70" customFormat="1">
      <c r="D114" s="13" t="s">
        <v>1356</v>
      </c>
    </row>
    <row r="115" spans="4:4" s="70" customFormat="1">
      <c r="D115" s="13" t="s">
        <v>1357</v>
      </c>
    </row>
    <row r="116" spans="4:4" s="70" customFormat="1">
      <c r="D116" s="13" t="s">
        <v>1358</v>
      </c>
    </row>
    <row r="117" spans="4:4" s="70" customFormat="1">
      <c r="D117" s="13" t="s">
        <v>1359</v>
      </c>
    </row>
    <row r="118" spans="4:4" s="70" customFormat="1">
      <c r="D118" s="13" t="s">
        <v>1360</v>
      </c>
    </row>
    <row r="119" spans="4:4" s="70" customFormat="1">
      <c r="D119" s="13" t="s">
        <v>1361</v>
      </c>
    </row>
    <row r="120" spans="4:4" s="70" customFormat="1">
      <c r="D120" s="13" t="s">
        <v>1362</v>
      </c>
    </row>
    <row r="121" spans="4:4" s="70" customFormat="1">
      <c r="D121" s="13" t="s">
        <v>1363</v>
      </c>
    </row>
    <row r="122" spans="4:4" s="70" customFormat="1">
      <c r="D122" s="13" t="s">
        <v>1364</v>
      </c>
    </row>
    <row r="123" spans="4:4" s="70" customFormat="1">
      <c r="D123" s="13" t="s">
        <v>1365</v>
      </c>
    </row>
    <row r="124" spans="4:4" s="70" customFormat="1">
      <c r="D124" s="13" t="s">
        <v>1366</v>
      </c>
    </row>
    <row r="125" spans="4:4" s="70" customFormat="1">
      <c r="D125" s="13" t="s">
        <v>1367</v>
      </c>
    </row>
    <row r="126" spans="4:4" s="70" customFormat="1">
      <c r="D126" s="13" t="s">
        <v>1368</v>
      </c>
    </row>
    <row r="127" spans="4:4" s="70" customFormat="1">
      <c r="D127" s="13" t="s">
        <v>1369</v>
      </c>
    </row>
    <row r="128" spans="4:4" s="70" customFormat="1">
      <c r="D128" s="13" t="s">
        <v>1370</v>
      </c>
    </row>
    <row r="129" spans="4:4" s="70" customFormat="1">
      <c r="D129" s="13" t="s">
        <v>1371</v>
      </c>
    </row>
    <row r="130" spans="4:4" s="70" customFormat="1">
      <c r="D130" s="13" t="s">
        <v>1372</v>
      </c>
    </row>
    <row r="131" spans="4:4" s="70" customFormat="1">
      <c r="D131" s="13" t="s">
        <v>1373</v>
      </c>
    </row>
    <row r="132" spans="4:4" s="70" customFormat="1">
      <c r="D132" s="13" t="s">
        <v>1374</v>
      </c>
    </row>
    <row r="133" spans="4:4" s="70" customFormat="1">
      <c r="D133" s="13" t="s">
        <v>1375</v>
      </c>
    </row>
    <row r="134" spans="4:4" s="70" customFormat="1">
      <c r="D134" s="13" t="s">
        <v>1376</v>
      </c>
    </row>
    <row r="135" spans="4:4" s="70" customFormat="1">
      <c r="D135" s="13" t="s">
        <v>1377</v>
      </c>
    </row>
    <row r="136" spans="4:4" s="70" customFormat="1">
      <c r="D136" s="13" t="s">
        <v>1378</v>
      </c>
    </row>
    <row r="137" spans="4:4" s="70" customFormat="1">
      <c r="D137" s="13" t="s">
        <v>1379</v>
      </c>
    </row>
    <row r="138" spans="4:4" s="70" customFormat="1">
      <c r="D138" s="13" t="s">
        <v>1380</v>
      </c>
    </row>
    <row r="139" spans="4:4" s="70" customFormat="1">
      <c r="D139" s="13" t="s">
        <v>1381</v>
      </c>
    </row>
    <row r="140" spans="4:4" s="70" customFormat="1">
      <c r="D140" s="13" t="s">
        <v>1382</v>
      </c>
    </row>
    <row r="141" spans="4:4" s="70" customFormat="1">
      <c r="D141" s="13" t="s">
        <v>1383</v>
      </c>
    </row>
    <row r="142" spans="4:4" s="70" customFormat="1">
      <c r="D142" s="13" t="s">
        <v>1384</v>
      </c>
    </row>
    <row r="143" spans="4:4" s="70" customFormat="1">
      <c r="D143" s="13" t="s">
        <v>1385</v>
      </c>
    </row>
    <row r="144" spans="4:4" s="70" customFormat="1">
      <c r="D144" s="194" t="s">
        <v>1333</v>
      </c>
    </row>
    <row r="145" spans="3:4" s="70" customFormat="1">
      <c r="D145" s="195" t="s">
        <v>1386</v>
      </c>
    </row>
    <row r="146" spans="3:4" s="70" customFormat="1"/>
    <row r="147" spans="3:4">
      <c r="C147"/>
    </row>
    <row r="148" spans="3:4">
      <c r="C148"/>
    </row>
    <row r="149" spans="3:4">
      <c r="C149"/>
    </row>
  </sheetData>
  <mergeCells count="1">
    <mergeCell ref="C4:D4"/>
  </mergeCells>
  <hyperlinks>
    <hyperlink ref="D145" r:id="rId1" xr:uid="{89A04500-BD1C-4824-B66D-EB7A293C1767}"/>
    <hyperlink ref="C88" r:id="rId2" xr:uid="{0FF0952C-B146-4843-8E58-AA4137548C86}"/>
  </hyperlinks>
  <pageMargins left="0.7" right="0.7" top="0.75" bottom="0.75" header="0.3" footer="0.3"/>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C3:H46"/>
  <sheetViews>
    <sheetView workbookViewId="0">
      <selection activeCell="H40" sqref="H40"/>
    </sheetView>
  </sheetViews>
  <sheetFormatPr defaultRowHeight="15"/>
  <cols>
    <col min="3" max="3" width="103.140625" customWidth="1"/>
  </cols>
  <sheetData>
    <row r="3" spans="3:8" ht="15.75">
      <c r="C3" s="704" t="s">
        <v>1387</v>
      </c>
      <c r="D3" s="704"/>
      <c r="E3" s="704"/>
      <c r="F3" s="704"/>
      <c r="G3" s="704"/>
      <c r="H3" s="704"/>
    </row>
    <row r="4" spans="3:8" ht="15.75">
      <c r="C4" s="62" t="s">
        <v>1388</v>
      </c>
    </row>
    <row r="5" spans="3:8" ht="15.75">
      <c r="C5" s="62" t="s">
        <v>1389</v>
      </c>
    </row>
    <row r="6" spans="3:8" ht="15.75">
      <c r="C6" s="62" t="s">
        <v>1390</v>
      </c>
    </row>
    <row r="7" spans="3:8" ht="15.75">
      <c r="C7" s="62" t="s">
        <v>1391</v>
      </c>
    </row>
    <row r="8" spans="3:8" ht="15.75">
      <c r="C8" s="62" t="s">
        <v>1392</v>
      </c>
    </row>
    <row r="9" spans="3:8" ht="15.75">
      <c r="C9" s="62" t="s">
        <v>1393</v>
      </c>
    </row>
    <row r="10" spans="3:8" ht="15.75">
      <c r="C10" s="62" t="s">
        <v>1394</v>
      </c>
    </row>
    <row r="11" spans="3:8" ht="15.75">
      <c r="C11" s="62" t="s">
        <v>1395</v>
      </c>
    </row>
    <row r="12" spans="3:8" ht="15.75">
      <c r="C12" s="62" t="s">
        <v>1396</v>
      </c>
    </row>
    <row r="13" spans="3:8" ht="15.75">
      <c r="C13" s="62" t="s">
        <v>1397</v>
      </c>
    </row>
    <row r="14" spans="3:8" ht="15.75">
      <c r="C14" s="62" t="s">
        <v>1398</v>
      </c>
    </row>
    <row r="15" spans="3:8" ht="15.75">
      <c r="C15" s="62" t="s">
        <v>1399</v>
      </c>
    </row>
    <row r="16" spans="3:8" ht="15.75">
      <c r="C16" s="62" t="s">
        <v>1400</v>
      </c>
    </row>
    <row r="17" spans="3:4" ht="15.75">
      <c r="C17" s="62" t="s">
        <v>1401</v>
      </c>
    </row>
    <row r="18" spans="3:4" ht="15.75">
      <c r="C18" s="62" t="s">
        <v>1402</v>
      </c>
    </row>
    <row r="19" spans="3:4" ht="15.75">
      <c r="C19" s="62" t="s">
        <v>1403</v>
      </c>
    </row>
    <row r="20" spans="3:4" ht="15.75">
      <c r="C20" s="62" t="s">
        <v>1404</v>
      </c>
    </row>
    <row r="21" spans="3:4" ht="15.75">
      <c r="C21" s="62" t="s">
        <v>1405</v>
      </c>
    </row>
    <row r="22" spans="3:4" ht="15.75">
      <c r="C22" s="62" t="s">
        <v>1406</v>
      </c>
    </row>
    <row r="23" spans="3:4" ht="15.75">
      <c r="C23" s="62" t="s">
        <v>1407</v>
      </c>
    </row>
    <row r="24" spans="3:4" ht="15.75">
      <c r="C24" s="62" t="s">
        <v>1408</v>
      </c>
    </row>
    <row r="25" spans="3:4" ht="15.75">
      <c r="C25" s="62" t="s">
        <v>1409</v>
      </c>
    </row>
    <row r="26" spans="3:4" ht="15.75">
      <c r="C26" s="62" t="s">
        <v>1410</v>
      </c>
    </row>
    <row r="27" spans="3:4">
      <c r="C27" s="129" t="s">
        <v>1411</v>
      </c>
      <c r="D27" s="123">
        <v>2022</v>
      </c>
    </row>
    <row r="28" spans="3:4">
      <c r="C28" s="129" t="s">
        <v>1412</v>
      </c>
      <c r="D28" s="123">
        <v>2022</v>
      </c>
    </row>
    <row r="29" spans="3:4" ht="15.75">
      <c r="C29" s="62"/>
    </row>
    <row r="30" spans="3:4" ht="15.75">
      <c r="C30" s="63"/>
    </row>
    <row r="31" spans="3:4" ht="15.75">
      <c r="C31" s="61" t="s">
        <v>1413</v>
      </c>
    </row>
    <row r="32" spans="3:4">
      <c r="C32" s="64" t="s">
        <v>1414</v>
      </c>
    </row>
    <row r="33" spans="3:4">
      <c r="C33" s="64" t="s">
        <v>1415</v>
      </c>
    </row>
    <row r="34" spans="3:4">
      <c r="C34" s="64" t="s">
        <v>1416</v>
      </c>
    </row>
    <row r="35" spans="3:4">
      <c r="C35" s="64" t="s">
        <v>1417</v>
      </c>
    </row>
    <row r="37" spans="3:4">
      <c r="C37" s="64"/>
    </row>
    <row r="38" spans="3:4" s="70" customFormat="1">
      <c r="C38" s="457" t="s">
        <v>1498</v>
      </c>
      <c r="D38" s="162"/>
    </row>
    <row r="39" spans="3:4" s="70" customFormat="1" ht="45">
      <c r="C39" s="175" t="s">
        <v>1418</v>
      </c>
      <c r="D39" s="458">
        <v>2023</v>
      </c>
    </row>
    <row r="40" spans="3:4" s="70" customFormat="1" ht="30">
      <c r="C40" s="175" t="s">
        <v>1419</v>
      </c>
      <c r="D40" s="458">
        <v>2023</v>
      </c>
    </row>
    <row r="41" spans="3:4" s="70" customFormat="1">
      <c r="C41" s="175" t="s">
        <v>1420</v>
      </c>
      <c r="D41" s="458"/>
    </row>
    <row r="42" spans="3:4" s="70" customFormat="1" ht="30">
      <c r="C42" s="175" t="s">
        <v>1421</v>
      </c>
      <c r="D42" s="458">
        <v>2023</v>
      </c>
    </row>
    <row r="43" spans="3:4" s="70" customFormat="1" ht="30">
      <c r="C43" s="175" t="s">
        <v>1422</v>
      </c>
      <c r="D43" s="458">
        <v>2023</v>
      </c>
    </row>
    <row r="44" spans="3:4" s="70" customFormat="1">
      <c r="C44" s="175" t="s">
        <v>1423</v>
      </c>
      <c r="D44" s="458">
        <v>2024</v>
      </c>
    </row>
    <row r="45" spans="3:4" s="70" customFormat="1" ht="30">
      <c r="C45" s="175" t="s">
        <v>1424</v>
      </c>
      <c r="D45" s="458">
        <v>2024</v>
      </c>
    </row>
    <row r="46" spans="3:4" s="70" customFormat="1"/>
  </sheetData>
  <mergeCells count="1">
    <mergeCell ref="C3:H3"/>
  </mergeCells>
  <hyperlinks>
    <hyperlink ref="C32" r:id="rId1" display="https://www.dna.sr/wetgeving/ontwerpwetten-bij-dna/in-behandeling/ontwerpwet-arbeidsomstandighedenwet-2019/" xr:uid="{00000000-0004-0000-1200-000000000000}"/>
    <hyperlink ref="C33" r:id="rId2" display="https://www.dna.sr/wetgeving/ontwerpwetten-bij-dna/in-behandeling/ontwerpwet-wet-ondernemingsraadpleging/" xr:uid="{00000000-0004-0000-1200-000003000000}"/>
    <hyperlink ref="C34" r:id="rId3" display="https://www.dna.sr/wetgeving/ontwerpwetten-bij-dna/in-behandeling/ontwerpwet-wet-werktijdenregeling-2019/" xr:uid="{00000000-0004-0000-1200-000004000000}"/>
    <hyperlink ref="C35" r:id="rId4" display="https://www.dna.sr/wetgeving/ontwerpwetten-bij-dna/in-behandeling/ontwerpwet-wijz-wet-werkvergunning-vreemdelingen-(sb-1981-no-62,-zoals-laatstelijk-gewijz-bij-sb-2002-no23)/" xr:uid="{00000000-0004-0000-1200-000005000000}"/>
    <hyperlink ref="C27" r:id="rId5" xr:uid="{A0BB5F6F-AE00-4B83-8D59-965D518D5D19}"/>
    <hyperlink ref="C28" r:id="rId6" xr:uid="{1C40D8F7-6151-49A5-9844-DFE0D44045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D2:T39"/>
  <sheetViews>
    <sheetView zoomScale="80" zoomScaleNormal="80" workbookViewId="0">
      <selection activeCell="O34" sqref="O34"/>
    </sheetView>
  </sheetViews>
  <sheetFormatPr defaultRowHeight="15"/>
  <cols>
    <col min="1" max="3" width="9.140625" style="162"/>
    <col min="4" max="4" width="29.7109375" style="162" customWidth="1"/>
    <col min="5" max="5" width="19.42578125" style="162" customWidth="1"/>
    <col min="6" max="6" width="13" style="162" customWidth="1"/>
    <col min="7" max="7" width="54.42578125" style="162" customWidth="1"/>
    <col min="8" max="13" width="12.42578125" style="162" customWidth="1"/>
    <col min="14" max="15" width="13" style="162" customWidth="1"/>
    <col min="16" max="16" width="12" style="162" bestFit="1" customWidth="1"/>
    <col min="17" max="17" width="12.140625" style="162" customWidth="1"/>
    <col min="18" max="19" width="9.140625" style="162"/>
    <col min="20" max="20" width="9.5703125" style="162" bestFit="1" customWidth="1"/>
    <col min="21" max="16384" width="9.140625" style="162"/>
  </cols>
  <sheetData>
    <row r="2" spans="4:20">
      <c r="D2" s="474" t="s">
        <v>37</v>
      </c>
      <c r="E2" s="474"/>
      <c r="F2" s="474"/>
    </row>
    <row r="3" spans="4:20" ht="123.75" customHeight="1">
      <c r="D3" s="475" t="s">
        <v>39</v>
      </c>
      <c r="E3" s="475"/>
      <c r="F3" s="475"/>
    </row>
    <row r="5" spans="4:20" ht="28.5" customHeight="1">
      <c r="D5" s="476" t="s">
        <v>37</v>
      </c>
      <c r="E5" s="477"/>
      <c r="G5" s="478" t="s">
        <v>1476</v>
      </c>
      <c r="H5" s="478"/>
      <c r="I5" s="478"/>
      <c r="J5" s="478"/>
      <c r="K5" s="478"/>
      <c r="L5" s="478"/>
      <c r="M5" s="478"/>
      <c r="N5" s="478"/>
      <c r="O5" s="478"/>
      <c r="P5" s="478"/>
      <c r="Q5" s="478"/>
    </row>
    <row r="6" spans="4:20" ht="15.75" customHeight="1">
      <c r="D6" s="163" t="s">
        <v>164</v>
      </c>
      <c r="E6" s="163" t="s">
        <v>165</v>
      </c>
      <c r="G6" s="164" t="s">
        <v>166</v>
      </c>
      <c r="H6" s="176">
        <v>2015</v>
      </c>
      <c r="I6" s="176">
        <v>2016</v>
      </c>
      <c r="J6" s="176">
        <v>2017</v>
      </c>
      <c r="K6" s="176">
        <v>2018</v>
      </c>
      <c r="L6" s="176">
        <v>2019</v>
      </c>
      <c r="M6" s="176">
        <v>2020</v>
      </c>
      <c r="N6" s="176" t="s">
        <v>167</v>
      </c>
      <c r="O6" s="176" t="s">
        <v>168</v>
      </c>
      <c r="P6" s="176" t="s">
        <v>169</v>
      </c>
      <c r="Q6" s="176" t="s">
        <v>170</v>
      </c>
    </row>
    <row r="7" spans="4:20" ht="13.5" customHeight="1">
      <c r="D7" s="165">
        <v>2001</v>
      </c>
      <c r="E7" s="166">
        <v>3.5</v>
      </c>
      <c r="G7" s="155" t="s">
        <v>171</v>
      </c>
      <c r="H7" s="177">
        <v>1822952</v>
      </c>
      <c r="I7" s="177">
        <v>1823821</v>
      </c>
      <c r="J7" s="177">
        <v>1706858</v>
      </c>
      <c r="K7" s="177">
        <v>1561865</v>
      </c>
      <c r="L7" s="177">
        <v>1268001</v>
      </c>
      <c r="M7" s="177">
        <v>1137257</v>
      </c>
      <c r="N7" s="177">
        <v>1051756</v>
      </c>
      <c r="O7" s="177">
        <v>1011098</v>
      </c>
      <c r="P7" s="177">
        <v>992664</v>
      </c>
      <c r="Q7" s="177">
        <v>1022630.4008486858</v>
      </c>
    </row>
    <row r="8" spans="4:20" ht="13.5" customHeight="1">
      <c r="D8" s="165">
        <v>2002</v>
      </c>
      <c r="E8" s="166">
        <v>2.1</v>
      </c>
      <c r="G8" s="155" t="s">
        <v>172</v>
      </c>
      <c r="H8" s="177">
        <v>739236.19436099601</v>
      </c>
      <c r="I8" s="177">
        <v>578477.65505216771</v>
      </c>
      <c r="J8" s="177">
        <v>659186.62089386664</v>
      </c>
      <c r="K8" s="177">
        <v>694888.9928452156</v>
      </c>
      <c r="L8" s="177">
        <v>554044</v>
      </c>
      <c r="M8" s="177">
        <v>390624</v>
      </c>
      <c r="N8" s="177">
        <v>353137</v>
      </c>
      <c r="O8" s="177">
        <v>362564</v>
      </c>
      <c r="P8" s="177">
        <v>400986</v>
      </c>
      <c r="Q8" s="177">
        <v>400693.57203970419</v>
      </c>
    </row>
    <row r="9" spans="4:20" ht="13.5" customHeight="1">
      <c r="D9" s="165">
        <v>2003</v>
      </c>
      <c r="E9" s="166">
        <v>5.4</v>
      </c>
      <c r="G9" s="155" t="s">
        <v>173</v>
      </c>
      <c r="H9" s="177">
        <v>2013249.7030296293</v>
      </c>
      <c r="I9" s="177">
        <v>2104166.3907317482</v>
      </c>
      <c r="J9" s="177">
        <v>2563872</v>
      </c>
      <c r="K9" s="177">
        <v>2713866</v>
      </c>
      <c r="L9" s="177">
        <v>2528616</v>
      </c>
      <c r="M9" s="177">
        <v>2566891</v>
      </c>
      <c r="N9" s="177">
        <v>2060372</v>
      </c>
      <c r="O9" s="177">
        <v>2098265</v>
      </c>
      <c r="P9" s="177">
        <v>2211528</v>
      </c>
      <c r="Q9" s="177">
        <v>2371021.5561221056</v>
      </c>
    </row>
    <row r="10" spans="4:20" ht="13.5" customHeight="1">
      <c r="D10" s="165">
        <v>2004</v>
      </c>
      <c r="E10" s="166">
        <v>4.8</v>
      </c>
      <c r="G10" s="155" t="s">
        <v>174</v>
      </c>
      <c r="H10" s="177">
        <v>318288.04130281485</v>
      </c>
      <c r="I10" s="177">
        <v>235552.65899883755</v>
      </c>
      <c r="J10" s="177">
        <v>292277.67268971773</v>
      </c>
      <c r="K10" s="177">
        <v>289680.68243044842</v>
      </c>
      <c r="L10" s="177">
        <v>307743.98764140933</v>
      </c>
      <c r="M10" s="177">
        <v>246226.15568626748</v>
      </c>
      <c r="N10" s="177">
        <v>251982</v>
      </c>
      <c r="O10" s="177">
        <v>257510</v>
      </c>
      <c r="P10" s="177">
        <v>260923</v>
      </c>
      <c r="Q10" s="177">
        <v>269351.82765698223</v>
      </c>
    </row>
    <row r="11" spans="4:20" ht="13.5" customHeight="1">
      <c r="D11" s="165">
        <v>2005</v>
      </c>
      <c r="E11" s="166">
        <v>3.7</v>
      </c>
      <c r="G11" s="155" t="s">
        <v>175</v>
      </c>
      <c r="H11" s="177">
        <v>18554.448656605105</v>
      </c>
      <c r="I11" s="177">
        <v>18741</v>
      </c>
      <c r="J11" s="177">
        <v>18595</v>
      </c>
      <c r="K11" s="177">
        <v>18571</v>
      </c>
      <c r="L11" s="177">
        <v>18225</v>
      </c>
      <c r="M11" s="177">
        <v>18216.169753591792</v>
      </c>
      <c r="N11" s="177">
        <v>20322</v>
      </c>
      <c r="O11" s="177">
        <v>21220</v>
      </c>
      <c r="P11" s="177">
        <v>21737</v>
      </c>
      <c r="Q11" s="177">
        <v>22258.688000000002</v>
      </c>
      <c r="T11" s="167"/>
    </row>
    <row r="12" spans="4:20" ht="13.5" customHeight="1">
      <c r="D12" s="165">
        <v>2006</v>
      </c>
      <c r="E12" s="168">
        <v>5.7669754669791047</v>
      </c>
      <c r="G12" s="155" t="s">
        <v>176</v>
      </c>
      <c r="H12" s="177">
        <v>1685149.5736897278</v>
      </c>
      <c r="I12" s="177">
        <v>1229797.9177320125</v>
      </c>
      <c r="J12" s="177">
        <v>1457940.3577773313</v>
      </c>
      <c r="K12" s="177">
        <v>1454390</v>
      </c>
      <c r="L12" s="177">
        <v>1510806</v>
      </c>
      <c r="M12" s="177">
        <v>838335</v>
      </c>
      <c r="N12" s="177">
        <v>930562</v>
      </c>
      <c r="O12" s="177">
        <v>967363</v>
      </c>
      <c r="P12" s="177">
        <v>888447</v>
      </c>
      <c r="Q12" s="177">
        <v>918922.06186898518</v>
      </c>
    </row>
    <row r="13" spans="4:20" ht="13.5" customHeight="1">
      <c r="D13" s="165">
        <v>2007</v>
      </c>
      <c r="E13" s="168">
        <v>5.0989181781792237</v>
      </c>
      <c r="G13" s="155" t="s">
        <v>177</v>
      </c>
      <c r="H13" s="177">
        <v>2968676.6416137153</v>
      </c>
      <c r="I13" s="177">
        <v>2965107.1844049175</v>
      </c>
      <c r="J13" s="177">
        <v>2497015</v>
      </c>
      <c r="K13" s="177">
        <v>2752394</v>
      </c>
      <c r="L13" s="177">
        <v>2749649</v>
      </c>
      <c r="M13" s="177">
        <v>2602279</v>
      </c>
      <c r="N13" s="177">
        <v>2629084</v>
      </c>
      <c r="O13" s="177">
        <v>2696129</v>
      </c>
      <c r="P13" s="177">
        <v>2817455</v>
      </c>
      <c r="Q13" s="177">
        <v>2769539.1837531393</v>
      </c>
    </row>
    <row r="14" spans="4:20" ht="13.5" customHeight="1">
      <c r="D14" s="165">
        <v>2008</v>
      </c>
      <c r="E14" s="168">
        <v>4.1493673492933869</v>
      </c>
      <c r="G14" s="155" t="s">
        <v>178</v>
      </c>
      <c r="H14" s="178">
        <v>695718.75783320446</v>
      </c>
      <c r="I14" s="178">
        <v>534022.64271434711</v>
      </c>
      <c r="J14" s="178">
        <v>647500</v>
      </c>
      <c r="K14" s="178">
        <v>717115</v>
      </c>
      <c r="L14" s="178">
        <v>694693</v>
      </c>
      <c r="M14" s="178">
        <v>497571</v>
      </c>
      <c r="N14" s="178">
        <v>498414</v>
      </c>
      <c r="O14" s="178">
        <v>509323</v>
      </c>
      <c r="P14" s="178">
        <v>550069</v>
      </c>
      <c r="Q14" s="178">
        <v>571363.49482936785</v>
      </c>
    </row>
    <row r="15" spans="4:20" ht="13.5" customHeight="1">
      <c r="D15" s="165">
        <v>2009</v>
      </c>
      <c r="E15" s="168">
        <v>3.0172992442755397</v>
      </c>
      <c r="G15" s="155" t="s">
        <v>179</v>
      </c>
      <c r="H15" s="178">
        <v>699261.49692860711</v>
      </c>
      <c r="I15" s="178">
        <v>799009.31394598982</v>
      </c>
      <c r="J15" s="178">
        <v>900321</v>
      </c>
      <c r="K15" s="178">
        <v>998843</v>
      </c>
      <c r="L15" s="178">
        <v>1170110</v>
      </c>
      <c r="M15" s="178">
        <v>321815</v>
      </c>
      <c r="N15" s="178">
        <v>283782</v>
      </c>
      <c r="O15" s="178">
        <v>296285</v>
      </c>
      <c r="P15" s="178">
        <v>327777</v>
      </c>
      <c r="Q15" s="178">
        <v>360554.7</v>
      </c>
    </row>
    <row r="16" spans="4:20" ht="13.5" customHeight="1">
      <c r="D16" s="165">
        <v>2010</v>
      </c>
      <c r="E16" s="168">
        <v>5.1630651274187978</v>
      </c>
      <c r="G16" s="155" t="s">
        <v>180</v>
      </c>
      <c r="H16" s="177">
        <v>1152490.362704894</v>
      </c>
      <c r="I16" s="177">
        <v>1222284.8760458129</v>
      </c>
      <c r="J16" s="177">
        <v>999252</v>
      </c>
      <c r="K16" s="177">
        <v>1086396</v>
      </c>
      <c r="L16" s="177">
        <v>1158441</v>
      </c>
      <c r="M16" s="177">
        <v>1392786</v>
      </c>
      <c r="N16" s="177">
        <v>1410390</v>
      </c>
      <c r="O16" s="177">
        <v>1475664</v>
      </c>
      <c r="P16" s="177">
        <v>1534691</v>
      </c>
      <c r="Q16" s="177">
        <v>1586870.4939999999</v>
      </c>
    </row>
    <row r="17" spans="4:17" ht="13.5" customHeight="1">
      <c r="D17" s="165">
        <v>2011</v>
      </c>
      <c r="E17" s="168">
        <v>5.8470050501329807</v>
      </c>
      <c r="G17" s="155" t="s">
        <v>181</v>
      </c>
      <c r="H17" s="177">
        <v>761992.38685941114</v>
      </c>
      <c r="I17" s="177">
        <v>865806.51198913064</v>
      </c>
      <c r="J17" s="177">
        <v>654231.68732936832</v>
      </c>
      <c r="K17" s="177">
        <v>845861</v>
      </c>
      <c r="L17" s="177">
        <v>925188</v>
      </c>
      <c r="M17" s="177">
        <v>921053</v>
      </c>
      <c r="N17" s="177">
        <v>991440</v>
      </c>
      <c r="O17" s="177">
        <v>1014863</v>
      </c>
      <c r="P17" s="177">
        <v>1060536</v>
      </c>
      <c r="Q17" s="177">
        <v>1089170.4719999996</v>
      </c>
    </row>
    <row r="18" spans="4:17" ht="13.5" customHeight="1">
      <c r="D18" s="165">
        <v>2012</v>
      </c>
      <c r="E18" s="168">
        <v>2.6969275913449664</v>
      </c>
      <c r="G18" s="155" t="s">
        <v>182</v>
      </c>
      <c r="H18" s="177">
        <v>752385.2612239857</v>
      </c>
      <c r="I18" s="177">
        <v>812214.9831629598</v>
      </c>
      <c r="J18" s="177">
        <v>848849.86504737474</v>
      </c>
      <c r="K18" s="177">
        <v>896962.7092892481</v>
      </c>
      <c r="L18" s="177">
        <v>922439.67304685363</v>
      </c>
      <c r="M18" s="177">
        <v>924386.85315146251</v>
      </c>
      <c r="N18" s="177">
        <v>953125</v>
      </c>
      <c r="O18" s="177">
        <v>980515</v>
      </c>
      <c r="P18" s="177">
        <v>960604</v>
      </c>
      <c r="Q18" s="177">
        <v>964926.71799999999</v>
      </c>
    </row>
    <row r="19" spans="4:17" ht="13.5" customHeight="1">
      <c r="D19" s="165">
        <v>2013</v>
      </c>
      <c r="E19" s="168">
        <v>2.9309221353469583</v>
      </c>
      <c r="G19" s="155" t="s">
        <v>183</v>
      </c>
      <c r="H19" s="177">
        <v>218694.81009999997</v>
      </c>
      <c r="I19" s="177">
        <v>194132.94417621996</v>
      </c>
      <c r="J19" s="177">
        <v>228021.95556903872</v>
      </c>
      <c r="K19" s="177">
        <v>248292.21364968107</v>
      </c>
      <c r="L19" s="177">
        <v>243156.34068099558</v>
      </c>
      <c r="M19" s="177">
        <v>188240</v>
      </c>
      <c r="N19" s="177">
        <v>241230</v>
      </c>
      <c r="O19" s="177">
        <v>244277</v>
      </c>
      <c r="P19" s="177">
        <v>247501</v>
      </c>
      <c r="Q19" s="177">
        <v>251213.51499999996</v>
      </c>
    </row>
    <row r="20" spans="4:17" ht="13.5" customHeight="1">
      <c r="D20" s="165">
        <v>2014</v>
      </c>
      <c r="E20" s="168">
        <v>0.3</v>
      </c>
      <c r="G20" s="155" t="s">
        <v>184</v>
      </c>
      <c r="H20" s="177">
        <v>0</v>
      </c>
      <c r="I20" s="177">
        <v>0</v>
      </c>
      <c r="J20" s="177">
        <v>0</v>
      </c>
      <c r="K20" s="177">
        <v>0</v>
      </c>
      <c r="L20" s="177">
        <v>0</v>
      </c>
      <c r="M20" s="177">
        <v>0</v>
      </c>
      <c r="N20" s="177">
        <v>0</v>
      </c>
      <c r="O20" s="177">
        <v>0</v>
      </c>
      <c r="P20" s="177">
        <v>0</v>
      </c>
      <c r="Q20" s="177">
        <v>0</v>
      </c>
    </row>
    <row r="21" spans="4:17" ht="13.5" customHeight="1">
      <c r="D21" s="165">
        <v>2015</v>
      </c>
      <c r="E21" s="168">
        <v>-3.413796513931977</v>
      </c>
      <c r="G21" s="155" t="s">
        <v>185</v>
      </c>
      <c r="H21" s="177">
        <v>1071236.26</v>
      </c>
      <c r="I21" s="177">
        <v>914701.56064777263</v>
      </c>
      <c r="J21" s="177">
        <v>1107358.7742084342</v>
      </c>
      <c r="K21" s="177">
        <v>1153591.9927730097</v>
      </c>
      <c r="L21" s="177">
        <v>1622132.6060322714</v>
      </c>
      <c r="M21" s="177">
        <v>1077870.4932337047</v>
      </c>
      <c r="N21" s="177">
        <v>1106912</v>
      </c>
      <c r="O21" s="177">
        <v>1140451</v>
      </c>
      <c r="P21" s="177">
        <v>1167977</v>
      </c>
      <c r="Q21" s="177">
        <v>1142115.2899453521</v>
      </c>
    </row>
    <row r="22" spans="4:17" ht="13.5" customHeight="1">
      <c r="D22" s="165">
        <v>2016</v>
      </c>
      <c r="E22" s="166">
        <v>-4.9000000000000004</v>
      </c>
      <c r="G22" s="155" t="s">
        <v>186</v>
      </c>
      <c r="H22" s="177">
        <v>546660.93999999994</v>
      </c>
      <c r="I22" s="177">
        <v>439575</v>
      </c>
      <c r="J22" s="177">
        <v>409267</v>
      </c>
      <c r="K22" s="177">
        <v>348719</v>
      </c>
      <c r="L22" s="177">
        <v>272416</v>
      </c>
      <c r="M22" s="177">
        <v>175955.17462449384</v>
      </c>
      <c r="N22" s="177">
        <v>169851</v>
      </c>
      <c r="O22" s="177">
        <v>212471</v>
      </c>
      <c r="P22" s="177">
        <v>209016</v>
      </c>
      <c r="Q22" s="177">
        <v>202717.27665025103</v>
      </c>
    </row>
    <row r="23" spans="4:17" ht="13.5" customHeight="1">
      <c r="D23" s="165">
        <v>2017</v>
      </c>
      <c r="E23" s="166">
        <v>1.6</v>
      </c>
      <c r="G23" s="155" t="s">
        <v>187</v>
      </c>
      <c r="H23" s="177">
        <v>456180.81</v>
      </c>
      <c r="I23" s="177">
        <v>421538</v>
      </c>
      <c r="J23" s="177">
        <v>417522</v>
      </c>
      <c r="K23" s="177">
        <v>401176</v>
      </c>
      <c r="L23" s="177">
        <v>420256</v>
      </c>
      <c r="M23" s="177">
        <v>384065.06865917851</v>
      </c>
      <c r="N23" s="177">
        <v>391769</v>
      </c>
      <c r="O23" s="177">
        <v>387759</v>
      </c>
      <c r="P23" s="177">
        <v>374055</v>
      </c>
      <c r="Q23" s="177">
        <v>360678.39969753404</v>
      </c>
    </row>
    <row r="24" spans="4:17" ht="13.5" customHeight="1">
      <c r="D24" s="165">
        <v>2018</v>
      </c>
      <c r="E24" s="166">
        <v>4.9000000000000004</v>
      </c>
      <c r="G24" s="155" t="s">
        <v>188</v>
      </c>
      <c r="H24" s="177">
        <v>0</v>
      </c>
      <c r="I24" s="177">
        <v>0</v>
      </c>
      <c r="J24" s="177">
        <v>0</v>
      </c>
      <c r="K24" s="177">
        <v>0</v>
      </c>
      <c r="L24" s="177">
        <v>0</v>
      </c>
      <c r="M24" s="177">
        <v>0</v>
      </c>
      <c r="N24" s="177">
        <v>0</v>
      </c>
      <c r="O24" s="177">
        <v>0</v>
      </c>
      <c r="P24" s="177">
        <v>0</v>
      </c>
      <c r="Q24" s="177">
        <v>0</v>
      </c>
    </row>
    <row r="25" spans="4:17" ht="13.5" customHeight="1">
      <c r="D25" s="165">
        <v>2019</v>
      </c>
      <c r="E25" s="166">
        <v>1.2</v>
      </c>
      <c r="G25" s="155" t="s">
        <v>189</v>
      </c>
      <c r="H25" s="177">
        <v>221617.24540534714</v>
      </c>
      <c r="I25" s="177">
        <v>190539</v>
      </c>
      <c r="J25" s="177">
        <v>181798</v>
      </c>
      <c r="K25" s="177">
        <v>178683</v>
      </c>
      <c r="L25" s="177">
        <v>186411</v>
      </c>
      <c r="M25" s="177">
        <v>224492</v>
      </c>
      <c r="N25" s="177">
        <v>225219</v>
      </c>
      <c r="O25" s="177">
        <v>220098</v>
      </c>
      <c r="P25" s="177">
        <v>222785</v>
      </c>
      <c r="Q25" s="177">
        <v>227463.48499999999</v>
      </c>
    </row>
    <row r="26" spans="4:17" ht="13.5" customHeight="1">
      <c r="D26" s="165">
        <v>2020</v>
      </c>
      <c r="E26" s="166">
        <v>-16</v>
      </c>
      <c r="G26" s="155" t="s">
        <v>190</v>
      </c>
      <c r="H26" s="177">
        <v>0</v>
      </c>
      <c r="I26" s="177">
        <v>0</v>
      </c>
      <c r="J26" s="177">
        <v>0</v>
      </c>
      <c r="K26" s="177">
        <v>0</v>
      </c>
      <c r="L26" s="177">
        <v>0</v>
      </c>
      <c r="M26" s="177">
        <v>0</v>
      </c>
      <c r="N26" s="177">
        <v>0</v>
      </c>
      <c r="O26" s="177">
        <v>0</v>
      </c>
      <c r="P26" s="177">
        <v>0</v>
      </c>
      <c r="Q26" s="177">
        <v>0</v>
      </c>
    </row>
    <row r="27" spans="4:17" ht="13.5" customHeight="1">
      <c r="D27" s="165" t="s">
        <v>191</v>
      </c>
      <c r="E27" s="166">
        <v>2.4</v>
      </c>
      <c r="G27" s="155" t="s">
        <v>192</v>
      </c>
      <c r="H27" s="177">
        <v>0</v>
      </c>
      <c r="I27" s="177">
        <v>0</v>
      </c>
      <c r="J27" s="177">
        <v>0</v>
      </c>
      <c r="K27" s="177">
        <v>0</v>
      </c>
      <c r="L27" s="177">
        <v>0</v>
      </c>
      <c r="M27" s="177">
        <v>0</v>
      </c>
      <c r="N27" s="177">
        <v>0</v>
      </c>
      <c r="O27" s="177">
        <v>0</v>
      </c>
      <c r="P27" s="177">
        <v>0</v>
      </c>
      <c r="Q27" s="177">
        <v>0</v>
      </c>
    </row>
    <row r="28" spans="4:17" ht="13.5" customHeight="1">
      <c r="D28" s="165" t="s">
        <v>193</v>
      </c>
      <c r="E28" s="166">
        <v>2.4</v>
      </c>
      <c r="G28" s="155" t="s">
        <v>194</v>
      </c>
      <c r="H28" s="177">
        <v>0</v>
      </c>
      <c r="I28" s="177">
        <v>0</v>
      </c>
      <c r="J28" s="177">
        <v>0</v>
      </c>
      <c r="K28" s="177">
        <v>0</v>
      </c>
      <c r="L28" s="177">
        <v>0</v>
      </c>
      <c r="M28" s="177">
        <v>0</v>
      </c>
      <c r="N28" s="177">
        <v>0</v>
      </c>
      <c r="O28" s="177">
        <v>0</v>
      </c>
      <c r="P28" s="177">
        <v>0</v>
      </c>
      <c r="Q28" s="177">
        <v>0</v>
      </c>
    </row>
    <row r="29" spans="4:17" ht="13.5" customHeight="1">
      <c r="D29" s="165" t="s">
        <v>195</v>
      </c>
      <c r="E29" s="166">
        <v>2.5</v>
      </c>
      <c r="G29" s="169" t="s">
        <v>196</v>
      </c>
      <c r="H29" s="179">
        <v>16142344.933708938</v>
      </c>
      <c r="I29" s="179">
        <v>15349488</v>
      </c>
      <c r="J29" s="179">
        <v>15589866.933515131</v>
      </c>
      <c r="K29" s="179">
        <v>16361295</v>
      </c>
      <c r="L29" s="179">
        <v>16552328</v>
      </c>
      <c r="M29" s="179">
        <v>13908062</v>
      </c>
      <c r="N29" s="179">
        <v>13569347</v>
      </c>
      <c r="O29" s="179">
        <v>13895856</v>
      </c>
      <c r="P29" s="179">
        <v>14248750</v>
      </c>
      <c r="Q29" s="179">
        <v>14531491.135412108</v>
      </c>
    </row>
    <row r="30" spans="4:17" ht="13.5" customHeight="1">
      <c r="D30" s="165" t="s">
        <v>1477</v>
      </c>
      <c r="E30" s="166">
        <v>2</v>
      </c>
      <c r="G30" s="169" t="s">
        <v>197</v>
      </c>
      <c r="H30" s="178">
        <v>1372302</v>
      </c>
      <c r="I30" s="178">
        <v>1304899.2600273474</v>
      </c>
      <c r="J30" s="178">
        <v>1325334.4331603933</v>
      </c>
      <c r="K30" s="178">
        <v>1390915.5549772191</v>
      </c>
      <c r="L30" s="178">
        <v>1407156</v>
      </c>
      <c r="M30" s="178">
        <v>1182360</v>
      </c>
      <c r="N30" s="178">
        <v>1153565</v>
      </c>
      <c r="O30" s="178">
        <v>1151322</v>
      </c>
      <c r="P30" s="178">
        <v>1211323</v>
      </c>
      <c r="Q30" s="178">
        <v>1235359.2729846612</v>
      </c>
    </row>
    <row r="31" spans="4:17" ht="13.5" customHeight="1">
      <c r="D31" s="170" t="s">
        <v>1478</v>
      </c>
      <c r="G31" s="169" t="s">
        <v>198</v>
      </c>
      <c r="H31" s="179">
        <v>17514646.933708936</v>
      </c>
      <c r="I31" s="179">
        <v>16654387</v>
      </c>
      <c r="J31" s="179">
        <v>16915201.366675526</v>
      </c>
      <c r="K31" s="179">
        <v>17752211.145964824</v>
      </c>
      <c r="L31" s="179">
        <v>17959484</v>
      </c>
      <c r="M31" s="179">
        <v>15090422</v>
      </c>
      <c r="N31" s="179">
        <v>14722912</v>
      </c>
      <c r="O31" s="179">
        <v>15047178</v>
      </c>
      <c r="P31" s="179">
        <v>15460073</v>
      </c>
      <c r="Q31" s="179">
        <v>15766850.408396769</v>
      </c>
    </row>
    <row r="32" spans="4:17" ht="13.5" customHeight="1">
      <c r="D32" s="171" t="s">
        <v>46</v>
      </c>
      <c r="G32" s="169" t="s">
        <v>199</v>
      </c>
      <c r="H32" s="177"/>
      <c r="I32" s="180">
        <v>-4.9116601491593173</v>
      </c>
      <c r="J32" s="180">
        <v>1.5660400270242718</v>
      </c>
      <c r="K32" s="180">
        <v>4.9482696726169877</v>
      </c>
      <c r="L32" s="180">
        <v>1.2</v>
      </c>
      <c r="M32" s="180">
        <v>-16</v>
      </c>
      <c r="N32" s="180">
        <v>-2.4</v>
      </c>
      <c r="O32" s="180">
        <v>2.4</v>
      </c>
      <c r="P32" s="180">
        <v>2.5</v>
      </c>
      <c r="Q32" s="180">
        <v>2</v>
      </c>
    </row>
    <row r="33" spans="4:7">
      <c r="D33" s="172" t="s">
        <v>200</v>
      </c>
      <c r="G33" s="170" t="s">
        <v>1479</v>
      </c>
    </row>
    <row r="34" spans="4:7" ht="15.75">
      <c r="D34" s="173" t="s">
        <v>1480</v>
      </c>
      <c r="G34" s="174" t="s">
        <v>46</v>
      </c>
    </row>
    <row r="35" spans="4:7">
      <c r="D35" s="171" t="s">
        <v>201</v>
      </c>
      <c r="G35" s="172" t="s">
        <v>200</v>
      </c>
    </row>
    <row r="36" spans="4:7" ht="15" customHeight="1">
      <c r="D36" s="173" t="s">
        <v>202</v>
      </c>
      <c r="E36" s="175"/>
      <c r="G36" s="173" t="s">
        <v>1480</v>
      </c>
    </row>
    <row r="37" spans="4:7">
      <c r="D37" s="175"/>
      <c r="E37" s="175"/>
      <c r="G37" s="171" t="s">
        <v>201</v>
      </c>
    </row>
    <row r="38" spans="4:7">
      <c r="D38" s="175"/>
      <c r="E38" s="175"/>
      <c r="G38" s="173" t="s">
        <v>202</v>
      </c>
    </row>
    <row r="39" spans="4:7">
      <c r="D39" s="175"/>
      <c r="E39" s="175"/>
    </row>
  </sheetData>
  <mergeCells count="4">
    <mergeCell ref="D2:F2"/>
    <mergeCell ref="D3:F3"/>
    <mergeCell ref="D5:E5"/>
    <mergeCell ref="G5:Q5"/>
  </mergeCells>
  <hyperlinks>
    <hyperlink ref="D32" r:id="rId1" xr:uid="{0EF523DC-E736-4359-A1BB-663C8FD64598}"/>
    <hyperlink ref="D35" r:id="rId2" xr:uid="{31188410-9C16-45EA-936A-0494F1ABE62F}"/>
    <hyperlink ref="G34" r:id="rId3" xr:uid="{901937E7-2F8D-4607-9082-4F376064BE6E}"/>
    <hyperlink ref="G37" r:id="rId4" xr:uid="{E573F8E3-ADAA-4FF7-8741-995346874E54}"/>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L34"/>
  <sheetViews>
    <sheetView zoomScale="80" zoomScaleNormal="80" workbookViewId="0">
      <selection activeCell="I2" sqref="I2"/>
    </sheetView>
  </sheetViews>
  <sheetFormatPr defaultRowHeight="15"/>
  <cols>
    <col min="1" max="1" width="9.140625" style="70"/>
    <col min="2" max="2" width="6.7109375" style="70" customWidth="1"/>
    <col min="3" max="3" width="28.140625" style="70" customWidth="1"/>
    <col min="4" max="4" width="9.140625" style="70"/>
    <col min="5" max="5" width="15" style="70" customWidth="1"/>
    <col min="6" max="6" width="23.140625" style="70" customWidth="1"/>
    <col min="7" max="7" width="16.42578125" style="70" customWidth="1"/>
    <col min="8" max="8" width="9.140625" style="70"/>
    <col min="9" max="9" width="23.7109375" style="70" bestFit="1" customWidth="1"/>
    <col min="10" max="10" width="12.42578125" style="70" customWidth="1"/>
    <col min="11" max="11" width="18.85546875" style="70" customWidth="1"/>
    <col min="12" max="12" width="9.140625" style="70"/>
    <col min="13" max="13" width="13.7109375" style="70" customWidth="1"/>
    <col min="14" max="14" width="18.7109375" style="70" customWidth="1"/>
    <col min="15" max="16384" width="9.140625" style="70"/>
  </cols>
  <sheetData>
    <row r="2" spans="2:12" ht="29.25" customHeight="1">
      <c r="B2" s="481" t="s">
        <v>53</v>
      </c>
      <c r="C2" s="481"/>
      <c r="D2" s="481"/>
      <c r="E2" s="481"/>
      <c r="F2" s="481"/>
      <c r="G2" s="481"/>
    </row>
    <row r="3" spans="2:12" ht="33" customHeight="1">
      <c r="B3" s="482" t="s">
        <v>55</v>
      </c>
      <c r="C3" s="482"/>
      <c r="D3" s="482"/>
      <c r="E3" s="482"/>
      <c r="F3" s="482"/>
      <c r="G3" s="482"/>
    </row>
    <row r="6" spans="2:12" ht="31.5" customHeight="1">
      <c r="B6" s="483" t="s">
        <v>203</v>
      </c>
      <c r="C6" s="484"/>
      <c r="D6" s="181"/>
      <c r="E6" s="483" t="s">
        <v>204</v>
      </c>
      <c r="F6" s="484"/>
      <c r="H6" s="485" t="s">
        <v>205</v>
      </c>
      <c r="I6" s="485"/>
      <c r="J6" s="485"/>
      <c r="K6" s="485"/>
      <c r="L6" s="485"/>
    </row>
    <row r="7" spans="2:12" ht="27" customHeight="1">
      <c r="B7" s="182" t="s">
        <v>164</v>
      </c>
      <c r="C7" s="183" t="s">
        <v>206</v>
      </c>
      <c r="E7" s="184" t="s">
        <v>164</v>
      </c>
      <c r="F7" s="184" t="s">
        <v>207</v>
      </c>
      <c r="H7" s="13" t="s">
        <v>164</v>
      </c>
      <c r="I7" s="185" t="s">
        <v>208</v>
      </c>
      <c r="J7" s="185" t="s">
        <v>209</v>
      </c>
      <c r="K7" s="185" t="s">
        <v>210</v>
      </c>
      <c r="L7" s="185" t="s">
        <v>211</v>
      </c>
    </row>
    <row r="8" spans="2:12">
      <c r="B8" s="186">
        <v>2001</v>
      </c>
      <c r="C8" s="166">
        <v>4.3</v>
      </c>
      <c r="D8" s="187"/>
      <c r="E8" s="186">
        <v>2000</v>
      </c>
      <c r="F8" s="168">
        <v>-2.8</v>
      </c>
      <c r="H8" s="188">
        <v>2015</v>
      </c>
      <c r="I8" s="189">
        <v>17514647</v>
      </c>
      <c r="J8" s="189">
        <v>92837</v>
      </c>
      <c r="K8" s="189">
        <v>188660.20013572174</v>
      </c>
      <c r="L8" s="13"/>
    </row>
    <row r="9" spans="2:12">
      <c r="B9" s="186">
        <v>2002</v>
      </c>
      <c r="C9" s="166">
        <v>11.5</v>
      </c>
      <c r="E9" s="186">
        <v>2001</v>
      </c>
      <c r="F9" s="168">
        <v>-0.9</v>
      </c>
      <c r="H9" s="13">
        <v>2016</v>
      </c>
      <c r="I9" s="189">
        <v>16654387</v>
      </c>
      <c r="J9" s="189">
        <v>94194</v>
      </c>
      <c r="K9" s="189">
        <v>176809.42522878313</v>
      </c>
      <c r="L9" s="190">
        <v>-6.2815447552865891</v>
      </c>
    </row>
    <row r="10" spans="2:12">
      <c r="B10" s="186">
        <v>2003</v>
      </c>
      <c r="C10" s="166">
        <v>4.2</v>
      </c>
      <c r="E10" s="186">
        <v>2002</v>
      </c>
      <c r="F10" s="168">
        <v>-2.1</v>
      </c>
      <c r="H10" s="13">
        <v>2017</v>
      </c>
      <c r="I10" s="189">
        <v>16915201</v>
      </c>
      <c r="J10" s="189">
        <v>96066</v>
      </c>
      <c r="K10" s="189">
        <v>176078.95613432434</v>
      </c>
      <c r="L10" s="190">
        <v>-0.41313922802113723</v>
      </c>
    </row>
    <row r="11" spans="2:12" ht="12" customHeight="1">
      <c r="B11" s="186">
        <v>2004</v>
      </c>
      <c r="C11" s="166">
        <v>6.9</v>
      </c>
      <c r="E11" s="186">
        <v>2003</v>
      </c>
      <c r="F11" s="168">
        <v>1.4</v>
      </c>
      <c r="H11" s="13">
        <v>2018</v>
      </c>
      <c r="I11" s="189">
        <v>17752211</v>
      </c>
      <c r="J11" s="189">
        <v>97284</v>
      </c>
      <c r="K11" s="189">
        <v>182478.21841207187</v>
      </c>
      <c r="L11" s="190">
        <v>3.63431407036839</v>
      </c>
    </row>
    <row r="12" spans="2:12">
      <c r="B12" s="186">
        <v>2005</v>
      </c>
      <c r="C12" s="166">
        <v>2.8</v>
      </c>
      <c r="E12" s="186">
        <v>2004</v>
      </c>
      <c r="F12" s="168">
        <v>4.4000000000000004</v>
      </c>
      <c r="H12" s="13">
        <v>2019</v>
      </c>
      <c r="I12" s="189">
        <v>17959484</v>
      </c>
      <c r="J12" s="189">
        <v>98143</v>
      </c>
      <c r="K12" s="189">
        <v>182866.72508482519</v>
      </c>
      <c r="L12" s="190">
        <v>0.21290577918509257</v>
      </c>
    </row>
    <row r="13" spans="2:12">
      <c r="B13" s="186">
        <v>2006</v>
      </c>
      <c r="C13" s="166">
        <v>3.3</v>
      </c>
      <c r="E13" s="186">
        <v>2005</v>
      </c>
      <c r="F13" s="168">
        <v>1.9</v>
      </c>
      <c r="H13" s="13">
        <v>2020</v>
      </c>
      <c r="I13" s="189">
        <v>15090422</v>
      </c>
      <c r="J13" s="189">
        <v>103222</v>
      </c>
      <c r="K13" s="189">
        <v>146213.19098641764</v>
      </c>
      <c r="L13" s="190">
        <v>-20.0438511059928</v>
      </c>
    </row>
    <row r="14" spans="2:12">
      <c r="B14" s="186">
        <v>2007</v>
      </c>
      <c r="C14" s="166">
        <v>4.5999999999999996</v>
      </c>
      <c r="E14" s="186">
        <v>2006</v>
      </c>
      <c r="F14" s="168">
        <v>3.2</v>
      </c>
      <c r="H14" s="13">
        <v>2021</v>
      </c>
      <c r="I14" s="189">
        <v>14722912</v>
      </c>
      <c r="J14" s="189"/>
      <c r="K14" s="189"/>
      <c r="L14" s="190"/>
    </row>
    <row r="15" spans="2:12">
      <c r="B15" s="186">
        <v>2008</v>
      </c>
      <c r="C15" s="166">
        <v>2.5</v>
      </c>
      <c r="E15" s="186">
        <v>2007</v>
      </c>
      <c r="F15" s="168">
        <v>2.6</v>
      </c>
      <c r="H15" s="13">
        <v>2022</v>
      </c>
      <c r="I15" s="189">
        <v>15047178</v>
      </c>
      <c r="J15" s="189"/>
      <c r="K15" s="189"/>
      <c r="L15" s="190"/>
    </row>
    <row r="16" spans="2:12">
      <c r="B16" s="186">
        <v>2009</v>
      </c>
      <c r="C16" s="166">
        <v>-6.9</v>
      </c>
      <c r="E16" s="186">
        <v>2008</v>
      </c>
      <c r="F16" s="168">
        <v>1.5</v>
      </c>
      <c r="H16" s="13">
        <v>2023</v>
      </c>
      <c r="I16" s="189">
        <v>15460073</v>
      </c>
      <c r="J16" s="189"/>
      <c r="K16" s="189"/>
      <c r="L16" s="190"/>
    </row>
    <row r="17" spans="2:12">
      <c r="B17" s="186">
        <v>2010</v>
      </c>
      <c r="C17" s="166">
        <v>3.5</v>
      </c>
      <c r="E17" s="186">
        <v>2009</v>
      </c>
      <c r="F17" s="168">
        <v>0.5</v>
      </c>
      <c r="H17" s="13">
        <v>2024</v>
      </c>
      <c r="I17" s="189">
        <v>15766850.408396799</v>
      </c>
      <c r="J17" s="189"/>
      <c r="K17" s="189"/>
      <c r="L17" s="190"/>
    </row>
    <row r="18" spans="2:12">
      <c r="B18" s="186">
        <v>2011</v>
      </c>
      <c r="C18" s="166">
        <v>3.6</v>
      </c>
      <c r="E18" s="186">
        <v>2010</v>
      </c>
      <c r="F18" s="168">
        <v>0.9</v>
      </c>
      <c r="H18" s="479" t="s">
        <v>212</v>
      </c>
      <c r="I18" s="479"/>
      <c r="J18" s="479"/>
      <c r="K18" s="479"/>
      <c r="L18" s="479"/>
    </row>
    <row r="19" spans="2:12">
      <c r="B19" s="186">
        <v>2012</v>
      </c>
      <c r="C19" s="166">
        <v>-5.4</v>
      </c>
      <c r="E19" s="186">
        <v>2011</v>
      </c>
      <c r="F19" s="168">
        <v>3.7</v>
      </c>
      <c r="I19" s="70" t="s">
        <v>213</v>
      </c>
    </row>
    <row r="20" spans="2:12">
      <c r="B20" s="186">
        <v>2013</v>
      </c>
      <c r="C20" s="166">
        <v>2</v>
      </c>
      <c r="E20" s="186">
        <v>2012</v>
      </c>
      <c r="F20" s="168">
        <v>0.8</v>
      </c>
    </row>
    <row r="21" spans="2:12">
      <c r="B21" s="186">
        <v>2014</v>
      </c>
      <c r="C21" s="166">
        <v>-1.2</v>
      </c>
      <c r="D21" s="191"/>
      <c r="E21" s="186">
        <v>2013</v>
      </c>
      <c r="F21" s="168">
        <v>-1.2</v>
      </c>
      <c r="K21" s="192"/>
    </row>
    <row r="22" spans="2:12">
      <c r="B22" s="480" t="s">
        <v>214</v>
      </c>
      <c r="C22" s="480"/>
      <c r="E22" s="186">
        <v>2014</v>
      </c>
      <c r="F22" s="168">
        <v>-1.9</v>
      </c>
    </row>
    <row r="23" spans="2:12">
      <c r="B23" s="193"/>
      <c r="E23" s="186">
        <v>2015</v>
      </c>
      <c r="F23" s="168">
        <v>-6.5</v>
      </c>
    </row>
    <row r="24" spans="2:12">
      <c r="B24" s="193"/>
      <c r="E24" s="186">
        <v>2016</v>
      </c>
      <c r="F24" s="168">
        <v>-6.6</v>
      </c>
    </row>
    <row r="25" spans="2:12">
      <c r="B25" s="193"/>
      <c r="E25" s="186">
        <v>2017</v>
      </c>
      <c r="F25" s="168">
        <v>-0.1</v>
      </c>
    </row>
    <row r="26" spans="2:12">
      <c r="B26" s="193"/>
      <c r="E26" s="186">
        <v>2018</v>
      </c>
      <c r="F26" s="168">
        <v>2.8</v>
      </c>
    </row>
    <row r="27" spans="2:12">
      <c r="B27" s="193"/>
      <c r="E27" s="186">
        <v>2019</v>
      </c>
      <c r="F27" s="168">
        <v>-0.6</v>
      </c>
    </row>
    <row r="28" spans="2:12">
      <c r="B28" s="193"/>
      <c r="E28" s="186">
        <v>2020</v>
      </c>
      <c r="F28" s="168">
        <v>-10.9</v>
      </c>
    </row>
    <row r="29" spans="2:12">
      <c r="B29" s="193"/>
      <c r="E29" s="186">
        <v>2021</v>
      </c>
      <c r="F29" s="168">
        <v>-6</v>
      </c>
    </row>
    <row r="30" spans="2:12">
      <c r="B30" s="193"/>
      <c r="E30" s="186">
        <v>2022</v>
      </c>
      <c r="F30" s="168">
        <v>-0.5</v>
      </c>
    </row>
    <row r="31" spans="2:12">
      <c r="E31" s="186">
        <v>2023</v>
      </c>
      <c r="F31" s="168">
        <v>0.2</v>
      </c>
    </row>
    <row r="32" spans="2:12">
      <c r="E32" s="194" t="s">
        <v>215</v>
      </c>
      <c r="F32" s="194"/>
    </row>
    <row r="33" spans="5:5">
      <c r="E33" s="195" t="s">
        <v>216</v>
      </c>
    </row>
    <row r="34" spans="5:5">
      <c r="E34" s="70" t="s">
        <v>217</v>
      </c>
    </row>
  </sheetData>
  <mergeCells count="7">
    <mergeCell ref="H18:L18"/>
    <mergeCell ref="B22:C22"/>
    <mergeCell ref="B2:G2"/>
    <mergeCell ref="B3:G3"/>
    <mergeCell ref="B6:C6"/>
    <mergeCell ref="H6:L6"/>
    <mergeCell ref="E6:F6"/>
  </mergeCells>
  <hyperlinks>
    <hyperlink ref="E33" r:id="rId1" xr:uid="{EAE0720B-3DDE-44CF-A589-47CA3D41A6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103"/>
  <sheetViews>
    <sheetView zoomScale="90" zoomScaleNormal="90" workbookViewId="0">
      <selection activeCell="G100" sqref="G100"/>
    </sheetView>
  </sheetViews>
  <sheetFormatPr defaultRowHeight="15"/>
  <cols>
    <col min="1" max="1" width="9.140625" style="122"/>
    <col min="2" max="2" width="14.140625" style="122" customWidth="1"/>
    <col min="3" max="3" width="12.140625" style="122" customWidth="1"/>
    <col min="4" max="4" width="14.85546875" style="122" customWidth="1"/>
    <col min="5" max="7" width="12.140625" style="122" customWidth="1"/>
    <col min="8" max="8" width="10.28515625" style="122" hidden="1" customWidth="1"/>
    <col min="9" max="13" width="10.28515625" style="122" customWidth="1"/>
    <col min="14" max="14" width="7.5703125" style="122" customWidth="1"/>
    <col min="15" max="16384" width="9.140625" style="122"/>
  </cols>
  <sheetData>
    <row r="2" spans="2:13" ht="23.25" customHeight="1">
      <c r="B2" s="486" t="s">
        <v>61</v>
      </c>
      <c r="C2" s="486"/>
      <c r="D2" s="486"/>
      <c r="E2" s="486"/>
      <c r="F2" s="486"/>
      <c r="G2" s="486"/>
      <c r="H2" s="486"/>
      <c r="I2" s="486"/>
      <c r="J2" s="486"/>
      <c r="K2" s="486"/>
    </row>
    <row r="3" spans="2:13" ht="33.75" customHeight="1">
      <c r="B3" s="495" t="s">
        <v>63</v>
      </c>
      <c r="C3" s="495"/>
      <c r="D3" s="495"/>
      <c r="E3" s="495"/>
      <c r="F3" s="495"/>
      <c r="G3" s="495"/>
      <c r="H3" s="495"/>
      <c r="I3" s="495"/>
      <c r="J3" s="495"/>
      <c r="K3" s="495"/>
    </row>
    <row r="6" spans="2:13">
      <c r="B6" s="491" t="s">
        <v>218</v>
      </c>
      <c r="C6" s="491"/>
      <c r="D6" s="491"/>
      <c r="E6" s="491"/>
      <c r="F6" s="491"/>
      <c r="G6" s="491"/>
      <c r="H6" s="491"/>
      <c r="I6" s="491"/>
      <c r="J6" s="491"/>
      <c r="K6" s="491"/>
      <c r="L6" s="491"/>
      <c r="M6" s="491"/>
    </row>
    <row r="7" spans="2:13">
      <c r="B7" s="76" t="s">
        <v>219</v>
      </c>
      <c r="C7" s="77">
        <v>1999</v>
      </c>
      <c r="D7" s="77">
        <v>2000</v>
      </c>
      <c r="E7" s="77">
        <v>2001</v>
      </c>
      <c r="F7" s="77">
        <v>2002</v>
      </c>
      <c r="G7" s="77">
        <v>2003</v>
      </c>
      <c r="H7" s="77"/>
      <c r="I7" s="77">
        <v>2004</v>
      </c>
      <c r="J7" s="77">
        <v>2005</v>
      </c>
      <c r="K7" s="77">
        <v>2006</v>
      </c>
      <c r="L7" s="77">
        <v>2007</v>
      </c>
      <c r="M7" s="77" t="s">
        <v>220</v>
      </c>
    </row>
    <row r="8" spans="2:13">
      <c r="B8" s="78" t="s">
        <v>221</v>
      </c>
      <c r="C8" s="8">
        <v>39.9</v>
      </c>
      <c r="D8" s="8">
        <v>39.799999999999997</v>
      </c>
      <c r="E8" s="8">
        <v>40.299999999999997</v>
      </c>
      <c r="F8" s="8">
        <v>40.799999999999997</v>
      </c>
      <c r="G8" s="8">
        <v>41.5</v>
      </c>
      <c r="H8" s="8"/>
      <c r="I8" s="8">
        <v>42.9</v>
      </c>
      <c r="J8" s="8">
        <v>43.3</v>
      </c>
      <c r="K8" s="8">
        <v>43.9</v>
      </c>
      <c r="L8" s="8">
        <v>44.7</v>
      </c>
      <c r="M8" s="8">
        <v>41.9</v>
      </c>
    </row>
    <row r="9" spans="2:13">
      <c r="B9" s="78" t="s">
        <v>222</v>
      </c>
      <c r="C9" s="8">
        <v>77</v>
      </c>
      <c r="D9" s="8">
        <v>32</v>
      </c>
      <c r="E9" s="8">
        <v>63</v>
      </c>
      <c r="F9" s="8">
        <v>30</v>
      </c>
      <c r="G9" s="8">
        <v>31</v>
      </c>
      <c r="H9" s="8"/>
      <c r="I9" s="8">
        <v>21</v>
      </c>
      <c r="J9" s="8">
        <v>29</v>
      </c>
      <c r="K9" s="8">
        <v>32</v>
      </c>
      <c r="L9" s="8">
        <v>24</v>
      </c>
      <c r="M9" s="8">
        <v>37.700000000000003</v>
      </c>
    </row>
    <row r="10" spans="2:13">
      <c r="B10" s="78" t="s">
        <v>223</v>
      </c>
      <c r="C10" s="8">
        <v>33.799999999999997</v>
      </c>
      <c r="D10" s="8">
        <v>33.6</v>
      </c>
      <c r="E10" s="8">
        <v>33.799999999999997</v>
      </c>
      <c r="F10" s="8">
        <v>33.5</v>
      </c>
      <c r="G10" s="8">
        <v>33.299999999999997</v>
      </c>
      <c r="H10" s="8"/>
      <c r="I10" s="8">
        <v>33.799999999999997</v>
      </c>
      <c r="J10" s="8">
        <v>33</v>
      </c>
      <c r="K10" s="8">
        <v>33.4</v>
      </c>
      <c r="L10" s="8">
        <v>33.299999999999997</v>
      </c>
      <c r="M10" s="8">
        <v>33.5</v>
      </c>
    </row>
    <row r="11" spans="2:13">
      <c r="B11" s="78" t="s">
        <v>224</v>
      </c>
      <c r="C11" s="8">
        <v>36.4</v>
      </c>
      <c r="D11" s="8">
        <v>36.4</v>
      </c>
      <c r="E11" s="8">
        <v>36.6</v>
      </c>
      <c r="F11" s="8">
        <v>36.6</v>
      </c>
      <c r="G11" s="8">
        <v>38.6</v>
      </c>
      <c r="H11" s="8"/>
      <c r="I11" s="8">
        <v>39.1</v>
      </c>
      <c r="J11" s="8">
        <v>38.9</v>
      </c>
      <c r="K11" s="8">
        <v>40.200000000000003</v>
      </c>
      <c r="L11" s="8">
        <v>40.5</v>
      </c>
      <c r="M11" s="8">
        <v>38.1</v>
      </c>
    </row>
    <row r="12" spans="2:13">
      <c r="B12" s="78" t="s">
        <v>225</v>
      </c>
      <c r="C12" s="8">
        <v>56</v>
      </c>
      <c r="D12" s="8">
        <v>55.4</v>
      </c>
      <c r="E12" s="8">
        <v>54.7</v>
      </c>
      <c r="F12" s="8">
        <v>54.3</v>
      </c>
      <c r="G12" s="8">
        <v>54.4</v>
      </c>
      <c r="H12" s="8"/>
      <c r="I12" s="8">
        <v>53.4</v>
      </c>
      <c r="J12" s="8">
        <v>53.7</v>
      </c>
      <c r="K12" s="8">
        <v>53.8</v>
      </c>
      <c r="L12" s="8">
        <v>53.7</v>
      </c>
      <c r="M12" s="8">
        <v>54.4</v>
      </c>
    </row>
    <row r="13" spans="2:13">
      <c r="B13" s="203" t="s">
        <v>226</v>
      </c>
      <c r="C13" s="131"/>
      <c r="D13" s="131"/>
      <c r="E13" s="131"/>
      <c r="F13" s="131"/>
      <c r="G13" s="131"/>
      <c r="H13" s="131"/>
      <c r="I13" s="131"/>
      <c r="J13" s="131"/>
      <c r="K13" s="131"/>
      <c r="L13" s="131"/>
      <c r="M13" s="131"/>
    </row>
    <row r="16" spans="2:13" ht="18.75" customHeight="1">
      <c r="B16" s="487" t="s">
        <v>227</v>
      </c>
      <c r="C16" s="488"/>
      <c r="D16" s="488"/>
      <c r="E16" s="488"/>
      <c r="F16" s="488"/>
      <c r="G16" s="489"/>
      <c r="H16" s="79"/>
      <c r="I16" s="79"/>
    </row>
    <row r="17" spans="2:8" ht="62.25" customHeight="1">
      <c r="B17" s="490" t="s">
        <v>228</v>
      </c>
      <c r="C17" s="85" t="s">
        <v>229</v>
      </c>
      <c r="D17" s="85" t="s">
        <v>230</v>
      </c>
      <c r="E17" s="85" t="s">
        <v>231</v>
      </c>
      <c r="F17" s="85" t="s">
        <v>232</v>
      </c>
      <c r="G17" s="85" t="s">
        <v>233</v>
      </c>
      <c r="H17" s="54"/>
    </row>
    <row r="18" spans="2:8">
      <c r="B18" s="490"/>
      <c r="C18" s="85" t="s">
        <v>234</v>
      </c>
      <c r="D18" s="85" t="s">
        <v>234</v>
      </c>
      <c r="E18" s="85">
        <v>-3</v>
      </c>
      <c r="F18" s="85">
        <v>-4</v>
      </c>
      <c r="G18" s="85">
        <v>-5</v>
      </c>
      <c r="H18" s="54"/>
    </row>
    <row r="19" spans="2:8">
      <c r="B19" s="490"/>
      <c r="C19" s="85">
        <v>-1</v>
      </c>
      <c r="D19" s="85">
        <v>-2</v>
      </c>
      <c r="E19" s="196"/>
      <c r="F19" s="196"/>
      <c r="G19" s="196"/>
      <c r="H19" s="161"/>
    </row>
    <row r="20" spans="2:8">
      <c r="B20" s="80">
        <v>2001</v>
      </c>
      <c r="C20" s="9">
        <v>118.66</v>
      </c>
      <c r="D20" s="9">
        <v>72.16</v>
      </c>
      <c r="E20" s="9">
        <v>19.68</v>
      </c>
      <c r="F20" s="9">
        <v>2335.16</v>
      </c>
      <c r="G20" s="9">
        <v>164.45</v>
      </c>
      <c r="H20" s="55"/>
    </row>
    <row r="21" spans="2:8">
      <c r="B21" s="80">
        <v>2002</v>
      </c>
      <c r="C21" s="9">
        <v>306.98</v>
      </c>
      <c r="D21" s="9">
        <v>247.23</v>
      </c>
      <c r="E21" s="9">
        <v>5.99</v>
      </c>
      <c r="F21" s="9">
        <v>1838.98</v>
      </c>
      <c r="G21" s="9">
        <v>124.17</v>
      </c>
      <c r="H21" s="55"/>
    </row>
    <row r="22" spans="2:8">
      <c r="B22" s="80">
        <v>2003</v>
      </c>
      <c r="C22" s="9">
        <v>295.89</v>
      </c>
      <c r="D22" s="9">
        <v>258.2</v>
      </c>
      <c r="E22" s="9">
        <v>6.08</v>
      </c>
      <c r="F22" s="9">
        <v>1799.22</v>
      </c>
      <c r="G22" s="9">
        <v>114.6</v>
      </c>
      <c r="H22" s="55"/>
    </row>
    <row r="23" spans="2:8">
      <c r="B23" s="80">
        <v>2004</v>
      </c>
      <c r="C23" s="9">
        <v>291.08999999999997</v>
      </c>
      <c r="D23" s="9">
        <v>461.47</v>
      </c>
      <c r="E23" s="9">
        <v>3.72</v>
      </c>
      <c r="F23" s="9">
        <v>1082.03</v>
      </c>
      <c r="G23" s="9">
        <v>63.08</v>
      </c>
      <c r="H23" s="55"/>
    </row>
    <row r="24" spans="2:8">
      <c r="B24" s="80">
        <v>2005</v>
      </c>
      <c r="C24" s="9">
        <v>405.57</v>
      </c>
      <c r="D24" s="9">
        <v>510.55</v>
      </c>
      <c r="E24" s="9">
        <v>3.51</v>
      </c>
      <c r="F24" s="9">
        <v>1424.94</v>
      </c>
      <c r="G24" s="9">
        <v>79.44</v>
      </c>
      <c r="H24" s="55"/>
    </row>
    <row r="25" spans="2:8">
      <c r="B25" s="80">
        <v>2006</v>
      </c>
      <c r="C25" s="9">
        <v>428.19</v>
      </c>
      <c r="D25" s="9">
        <v>815.66</v>
      </c>
      <c r="E25" s="9">
        <v>2.2799999999999998</v>
      </c>
      <c r="F25" s="9">
        <v>977.86</v>
      </c>
      <c r="G25" s="9">
        <v>52.5</v>
      </c>
      <c r="H25" s="55"/>
    </row>
    <row r="26" spans="2:8">
      <c r="B26" s="80">
        <v>2007</v>
      </c>
      <c r="C26" s="9">
        <v>581.78</v>
      </c>
      <c r="D26" s="9">
        <v>1076.25</v>
      </c>
      <c r="E26" s="9">
        <v>1.82</v>
      </c>
      <c r="F26" s="9">
        <v>1058.3599999999999</v>
      </c>
      <c r="G26" s="9">
        <v>54.06</v>
      </c>
      <c r="H26" s="55"/>
    </row>
    <row r="27" spans="2:8">
      <c r="B27" s="80">
        <v>2008</v>
      </c>
      <c r="C27" s="9">
        <v>591.05999999999995</v>
      </c>
      <c r="D27" s="9">
        <v>1311.28</v>
      </c>
      <c r="E27" s="9">
        <v>1.55</v>
      </c>
      <c r="F27" s="9">
        <v>919.1</v>
      </c>
      <c r="G27" s="9">
        <v>45.08</v>
      </c>
      <c r="H27" s="55"/>
    </row>
    <row r="28" spans="2:8">
      <c r="B28" s="80">
        <v>2009</v>
      </c>
      <c r="C28" s="9">
        <v>519.36</v>
      </c>
      <c r="D28" s="9">
        <v>1797.51</v>
      </c>
      <c r="E28" s="9">
        <v>1.17</v>
      </c>
      <c r="F28" s="9">
        <v>606.89</v>
      </c>
      <c r="G28" s="9">
        <v>28.89</v>
      </c>
      <c r="H28" s="55"/>
    </row>
    <row r="29" spans="2:8">
      <c r="B29" s="80">
        <v>2010</v>
      </c>
      <c r="C29" s="9">
        <v>443.65</v>
      </c>
      <c r="D29" s="9">
        <v>2077.7199999999998</v>
      </c>
      <c r="E29" s="9">
        <v>1.06</v>
      </c>
      <c r="F29" s="9">
        <v>471.64</v>
      </c>
      <c r="G29" s="9">
        <v>21.35</v>
      </c>
      <c r="H29" s="55"/>
    </row>
    <row r="30" spans="2:8">
      <c r="B30" s="80">
        <v>2011</v>
      </c>
      <c r="C30" s="9">
        <v>509.93</v>
      </c>
      <c r="D30" s="9">
        <v>2653.64</v>
      </c>
      <c r="E30" s="9">
        <v>0.88</v>
      </c>
      <c r="F30" s="9">
        <v>446.81</v>
      </c>
      <c r="G30" s="9">
        <v>19.22</v>
      </c>
      <c r="H30" s="55"/>
    </row>
    <row r="31" spans="2:8">
      <c r="B31" s="80">
        <v>2012</v>
      </c>
      <c r="C31" s="9">
        <v>479.86</v>
      </c>
      <c r="D31" s="9">
        <v>3343.38</v>
      </c>
      <c r="E31" s="9">
        <v>0.72</v>
      </c>
      <c r="F31" s="9">
        <v>343.97</v>
      </c>
      <c r="G31" s="9">
        <v>14.35</v>
      </c>
      <c r="H31" s="55"/>
    </row>
    <row r="32" spans="2:8">
      <c r="B32" s="80">
        <v>2013</v>
      </c>
      <c r="C32" s="9">
        <v>453.4</v>
      </c>
      <c r="D32" s="9">
        <v>4108.25</v>
      </c>
      <c r="E32" s="9">
        <v>0.6</v>
      </c>
      <c r="F32" s="9">
        <v>272</v>
      </c>
      <c r="G32" s="9">
        <v>11.04</v>
      </c>
      <c r="H32" s="55"/>
    </row>
    <row r="33" spans="2:8">
      <c r="B33" s="80" t="s">
        <v>220</v>
      </c>
      <c r="C33" s="9">
        <v>417.3</v>
      </c>
      <c r="D33" s="9">
        <v>1441</v>
      </c>
      <c r="E33" s="9">
        <v>3.8</v>
      </c>
      <c r="F33" s="9">
        <v>1044.4000000000001</v>
      </c>
      <c r="G33" s="9">
        <v>60.9</v>
      </c>
      <c r="H33" s="55"/>
    </row>
    <row r="34" spans="2:8">
      <c r="B34" s="494" t="s">
        <v>1481</v>
      </c>
      <c r="C34" s="494"/>
      <c r="D34" s="494"/>
      <c r="E34" s="494"/>
    </row>
    <row r="36" spans="2:8" ht="20.25" customHeight="1">
      <c r="B36" s="493" t="s">
        <v>235</v>
      </c>
      <c r="C36" s="493"/>
      <c r="D36" s="493"/>
      <c r="E36" s="493"/>
    </row>
    <row r="37" spans="2:8" ht="30" customHeight="1">
      <c r="B37" s="197" t="s">
        <v>164</v>
      </c>
      <c r="C37" s="198" t="s">
        <v>236</v>
      </c>
      <c r="D37" s="198" t="s">
        <v>237</v>
      </c>
      <c r="E37" s="198" t="s">
        <v>238</v>
      </c>
    </row>
    <row r="38" spans="2:8" ht="13.5" customHeight="1">
      <c r="B38" s="199">
        <v>1990</v>
      </c>
      <c r="C38" s="127">
        <v>61</v>
      </c>
      <c r="D38" s="200" t="s">
        <v>239</v>
      </c>
      <c r="E38" s="127">
        <v>21</v>
      </c>
    </row>
    <row r="39" spans="2:8" ht="13.5" customHeight="1">
      <c r="B39" s="199">
        <v>1991</v>
      </c>
      <c r="C39" s="200" t="s">
        <v>240</v>
      </c>
      <c r="D39" s="127">
        <v>5.7</v>
      </c>
      <c r="E39" s="200" t="s">
        <v>241</v>
      </c>
    </row>
    <row r="40" spans="2:8" ht="13.5" customHeight="1">
      <c r="B40" s="199">
        <v>1992</v>
      </c>
      <c r="C40" s="127">
        <v>41</v>
      </c>
      <c r="D40" s="200" t="s">
        <v>242</v>
      </c>
      <c r="E40" s="127">
        <v>10.7</v>
      </c>
    </row>
    <row r="41" spans="2:8" ht="13.5" customHeight="1">
      <c r="B41" s="199">
        <v>1993</v>
      </c>
      <c r="C41" s="200" t="s">
        <v>243</v>
      </c>
      <c r="D41" s="200" t="s">
        <v>244</v>
      </c>
      <c r="E41" s="200" t="s">
        <v>245</v>
      </c>
    </row>
    <row r="42" spans="2:8">
      <c r="B42" s="199">
        <v>1994</v>
      </c>
      <c r="C42" s="127">
        <v>312</v>
      </c>
      <c r="D42" s="127">
        <v>3.3</v>
      </c>
      <c r="E42" s="127">
        <v>33.5</v>
      </c>
    </row>
    <row r="43" spans="2:8">
      <c r="B43" s="199">
        <v>1995</v>
      </c>
      <c r="C43" s="127">
        <v>419</v>
      </c>
      <c r="D43" s="127">
        <v>0.8</v>
      </c>
      <c r="E43" s="127">
        <v>127.4</v>
      </c>
    </row>
    <row r="44" spans="2:8">
      <c r="B44" s="199">
        <v>1996</v>
      </c>
      <c r="C44" s="200" t="s">
        <v>246</v>
      </c>
      <c r="D44" s="127">
        <v>1.6</v>
      </c>
      <c r="E44" s="200" t="s">
        <v>247</v>
      </c>
    </row>
    <row r="45" spans="2:8">
      <c r="B45" s="199">
        <v>1997</v>
      </c>
      <c r="C45" s="127">
        <v>5</v>
      </c>
      <c r="D45" s="127">
        <v>5.7</v>
      </c>
      <c r="E45" s="127">
        <v>5.6</v>
      </c>
    </row>
    <row r="46" spans="2:8">
      <c r="B46" s="199">
        <v>1998</v>
      </c>
      <c r="C46" s="127">
        <v>222</v>
      </c>
      <c r="D46" s="127">
        <v>1.4</v>
      </c>
      <c r="E46" s="127">
        <v>89.4</v>
      </c>
    </row>
    <row r="47" spans="2:8">
      <c r="B47" s="199">
        <v>1999</v>
      </c>
      <c r="C47" s="200" t="s">
        <v>248</v>
      </c>
      <c r="D47" s="200" t="s">
        <v>249</v>
      </c>
      <c r="E47" s="200" t="s">
        <v>250</v>
      </c>
    </row>
    <row r="48" spans="2:8">
      <c r="B48" s="199">
        <v>2000</v>
      </c>
      <c r="C48" s="200" t="s">
        <v>251</v>
      </c>
      <c r="D48" s="200" t="s">
        <v>252</v>
      </c>
      <c r="E48" s="200" t="s">
        <v>253</v>
      </c>
    </row>
    <row r="49" spans="2:8">
      <c r="B49" s="199">
        <v>2001</v>
      </c>
      <c r="C49" s="127">
        <v>114</v>
      </c>
      <c r="D49" s="127">
        <v>7.5</v>
      </c>
      <c r="E49" s="127">
        <v>33.200000000000003</v>
      </c>
    </row>
    <row r="50" spans="2:8">
      <c r="B50" s="199">
        <v>2002</v>
      </c>
      <c r="C50" s="200" t="s">
        <v>254</v>
      </c>
      <c r="D50" s="127">
        <v>7.7</v>
      </c>
      <c r="E50" s="200" t="s">
        <v>255</v>
      </c>
    </row>
    <row r="51" spans="2:8">
      <c r="B51" s="199">
        <v>2003</v>
      </c>
      <c r="C51" s="127">
        <v>8</v>
      </c>
      <c r="D51" s="127">
        <v>5.3</v>
      </c>
      <c r="E51" s="127">
        <v>6</v>
      </c>
    </row>
    <row r="52" spans="2:8">
      <c r="B52" s="199">
        <v>2004</v>
      </c>
      <c r="C52" s="200" t="s">
        <v>256</v>
      </c>
      <c r="D52" s="127">
        <v>8.4</v>
      </c>
      <c r="E52" s="200" t="s">
        <v>257</v>
      </c>
    </row>
    <row r="53" spans="2:8">
      <c r="B53" s="199">
        <v>2005</v>
      </c>
      <c r="C53" s="127">
        <v>99</v>
      </c>
      <c r="D53" s="127">
        <v>5.9</v>
      </c>
      <c r="E53" s="127">
        <v>18.399999999999999</v>
      </c>
    </row>
    <row r="54" spans="2:8">
      <c r="B54" s="199">
        <v>2006</v>
      </c>
      <c r="C54" s="127">
        <v>43</v>
      </c>
      <c r="D54" s="127">
        <v>31.8</v>
      </c>
      <c r="E54" s="127">
        <v>34.4</v>
      </c>
    </row>
    <row r="55" spans="2:8">
      <c r="B55" s="199">
        <v>2007</v>
      </c>
      <c r="C55" s="127">
        <v>-19</v>
      </c>
      <c r="D55" s="127">
        <v>5.0999999999999996</v>
      </c>
      <c r="E55" s="200" t="s">
        <v>249</v>
      </c>
    </row>
    <row r="56" spans="2:8" ht="18.75" customHeight="1">
      <c r="B56" s="199">
        <v>2008</v>
      </c>
      <c r="C56" s="200" t="s">
        <v>258</v>
      </c>
      <c r="D56" s="127">
        <v>4.2</v>
      </c>
      <c r="E56" s="127">
        <v>1.6</v>
      </c>
      <c r="H56" s="201" t="s">
        <v>259</v>
      </c>
    </row>
    <row r="57" spans="2:8">
      <c r="B57" s="199">
        <v>2009</v>
      </c>
      <c r="C57" s="127">
        <v>15</v>
      </c>
      <c r="D57" s="127">
        <v>3</v>
      </c>
      <c r="E57" s="127">
        <v>5.0999999999999996</v>
      </c>
    </row>
    <row r="58" spans="2:8">
      <c r="B58" s="199">
        <v>2010</v>
      </c>
      <c r="C58" s="127">
        <v>6</v>
      </c>
      <c r="D58" s="127">
        <v>4.0999999999999996</v>
      </c>
      <c r="E58" s="127">
        <v>4.5</v>
      </c>
    </row>
    <row r="59" spans="2:8">
      <c r="B59" s="199">
        <v>2011</v>
      </c>
      <c r="C59" s="127">
        <v>39</v>
      </c>
      <c r="D59" s="127">
        <v>4.7</v>
      </c>
      <c r="E59" s="127">
        <v>11.4</v>
      </c>
    </row>
    <row r="60" spans="2:8">
      <c r="B60" s="199">
        <v>2012</v>
      </c>
      <c r="C60" s="200" t="s">
        <v>260</v>
      </c>
      <c r="D60" s="127">
        <v>4.5</v>
      </c>
      <c r="E60" s="200" t="s">
        <v>261</v>
      </c>
    </row>
    <row r="61" spans="2:8">
      <c r="B61" s="199" t="s">
        <v>220</v>
      </c>
      <c r="C61" s="127">
        <v>38.96</v>
      </c>
      <c r="D61" s="127">
        <v>4.2699999999999996</v>
      </c>
      <c r="E61" s="127">
        <v>8.73</v>
      </c>
    </row>
    <row r="62" spans="2:8">
      <c r="B62" s="492" t="s">
        <v>262</v>
      </c>
      <c r="C62" s="492"/>
      <c r="D62" s="492"/>
      <c r="E62" s="492"/>
    </row>
    <row r="66" spans="2:5" ht="45">
      <c r="B66" s="199" t="s">
        <v>35</v>
      </c>
      <c r="C66" s="4" t="s">
        <v>263</v>
      </c>
      <c r="D66" s="56" t="s">
        <v>259</v>
      </c>
      <c r="E66" s="4" t="s">
        <v>264</v>
      </c>
    </row>
    <row r="67" spans="2:5" ht="16.5" customHeight="1">
      <c r="B67" s="4">
        <v>1990</v>
      </c>
      <c r="C67" s="4"/>
      <c r="D67" s="4">
        <v>15.8</v>
      </c>
      <c r="E67" s="4"/>
    </row>
    <row r="68" spans="2:5" ht="17.25" customHeight="1">
      <c r="B68" s="4">
        <v>1991</v>
      </c>
      <c r="C68" s="4"/>
      <c r="D68" s="4">
        <v>17.600000000000001</v>
      </c>
      <c r="E68" s="4"/>
    </row>
    <row r="69" spans="2:5">
      <c r="B69" s="4">
        <v>1992</v>
      </c>
      <c r="C69" s="4"/>
      <c r="D69" s="4">
        <v>18.5</v>
      </c>
      <c r="E69" s="4"/>
    </row>
    <row r="70" spans="2:5">
      <c r="B70" s="4">
        <v>1993</v>
      </c>
      <c r="C70" s="4"/>
      <c r="D70" s="4">
        <v>17.8</v>
      </c>
      <c r="E70" s="4"/>
    </row>
    <row r="71" spans="2:5">
      <c r="B71" s="4">
        <v>1994</v>
      </c>
      <c r="C71" s="4"/>
      <c r="D71" s="4">
        <v>17.3</v>
      </c>
      <c r="E71" s="4"/>
    </row>
    <row r="72" spans="2:5">
      <c r="B72" s="4">
        <v>1995</v>
      </c>
      <c r="C72" s="4"/>
      <c r="D72" s="4">
        <v>18.100000000000001</v>
      </c>
      <c r="E72" s="4"/>
    </row>
    <row r="73" spans="2:5">
      <c r="B73" s="4">
        <v>1996</v>
      </c>
      <c r="C73" s="4"/>
      <c r="D73" s="4">
        <v>16.399999999999999</v>
      </c>
      <c r="E73" s="4"/>
    </row>
    <row r="74" spans="2:5">
      <c r="B74" s="4">
        <v>1997</v>
      </c>
      <c r="C74" s="4"/>
      <c r="D74" s="4">
        <v>16.399999999999999</v>
      </c>
      <c r="E74" s="4"/>
    </row>
    <row r="75" spans="2:5">
      <c r="B75" s="4">
        <v>1998</v>
      </c>
      <c r="C75" s="4"/>
      <c r="D75" s="4">
        <v>15.3</v>
      </c>
      <c r="E75" s="4"/>
    </row>
    <row r="76" spans="2:5">
      <c r="B76" s="4">
        <v>1999</v>
      </c>
      <c r="C76" s="4"/>
      <c r="D76" s="202">
        <v>15.3</v>
      </c>
      <c r="E76" s="4"/>
    </row>
    <row r="77" spans="2:5">
      <c r="B77" s="4">
        <v>2000</v>
      </c>
      <c r="C77" s="4"/>
      <c r="D77" s="4">
        <v>14.7</v>
      </c>
      <c r="E77" s="4"/>
    </row>
    <row r="78" spans="2:5">
      <c r="B78" s="4">
        <v>2001</v>
      </c>
      <c r="C78" s="4"/>
      <c r="D78" s="4">
        <v>14.7</v>
      </c>
      <c r="E78" s="4"/>
    </row>
    <row r="79" spans="2:5">
      <c r="B79" s="4">
        <v>2002</v>
      </c>
      <c r="C79" s="4"/>
      <c r="D79" s="4">
        <v>13.6</v>
      </c>
      <c r="E79" s="4"/>
    </row>
    <row r="80" spans="2:5">
      <c r="B80" s="4">
        <v>2003</v>
      </c>
      <c r="C80" s="4"/>
      <c r="D80" s="4">
        <v>14.8</v>
      </c>
      <c r="E80" s="4"/>
    </row>
    <row r="81" spans="2:5">
      <c r="B81" s="4">
        <v>2004</v>
      </c>
      <c r="C81" s="4"/>
      <c r="D81" s="4">
        <v>15</v>
      </c>
      <c r="E81" s="4"/>
    </row>
    <row r="82" spans="2:5">
      <c r="B82" s="4">
        <v>2005</v>
      </c>
      <c r="C82" s="4"/>
      <c r="D82" s="4">
        <v>14.4</v>
      </c>
      <c r="E82" s="4"/>
    </row>
    <row r="83" spans="2:5">
      <c r="B83" s="4">
        <v>2006</v>
      </c>
      <c r="C83" s="4"/>
      <c r="D83" s="4">
        <v>15</v>
      </c>
      <c r="E83" s="4"/>
    </row>
    <row r="84" spans="2:5">
      <c r="B84" s="4">
        <v>2007</v>
      </c>
      <c r="C84" s="4"/>
      <c r="D84" s="4">
        <v>18</v>
      </c>
      <c r="E84" s="4"/>
    </row>
    <row r="85" spans="2:5">
      <c r="B85" s="4">
        <v>2008</v>
      </c>
      <c r="C85" s="4"/>
      <c r="D85" s="4">
        <v>19</v>
      </c>
      <c r="E85" s="4"/>
    </row>
    <row r="86" spans="2:5">
      <c r="B86" s="4">
        <v>2009</v>
      </c>
      <c r="C86" s="4"/>
      <c r="D86" s="4">
        <v>20</v>
      </c>
      <c r="E86" s="4"/>
    </row>
    <row r="87" spans="2:5">
      <c r="B87" s="4">
        <v>2010</v>
      </c>
      <c r="C87" s="4"/>
      <c r="D87" s="4">
        <v>22</v>
      </c>
      <c r="E87" s="4"/>
    </row>
    <row r="88" spans="2:5">
      <c r="B88" s="4">
        <v>2011</v>
      </c>
      <c r="C88" s="4"/>
      <c r="D88" s="4">
        <v>23</v>
      </c>
      <c r="E88" s="4"/>
    </row>
    <row r="89" spans="2:5">
      <c r="B89" s="4">
        <v>2012</v>
      </c>
      <c r="C89" s="4"/>
      <c r="D89" s="4">
        <v>24</v>
      </c>
      <c r="E89" s="4"/>
    </row>
    <row r="90" spans="2:5">
      <c r="B90" s="4">
        <v>2013</v>
      </c>
      <c r="C90" s="4"/>
      <c r="D90" s="4">
        <v>25</v>
      </c>
      <c r="E90" s="4"/>
    </row>
    <row r="91" spans="2:5">
      <c r="B91" s="4">
        <v>2014</v>
      </c>
      <c r="C91" s="4"/>
      <c r="D91" s="4">
        <v>26</v>
      </c>
      <c r="E91" s="4"/>
    </row>
    <row r="92" spans="2:5">
      <c r="B92" s="4">
        <v>2015</v>
      </c>
      <c r="C92" s="4"/>
      <c r="D92" s="4">
        <v>28</v>
      </c>
      <c r="E92" s="4"/>
    </row>
    <row r="93" spans="2:5">
      <c r="B93" s="4">
        <v>2016</v>
      </c>
      <c r="C93" s="4"/>
      <c r="D93" s="4">
        <v>30</v>
      </c>
      <c r="E93" s="4"/>
    </row>
    <row r="94" spans="2:5">
      <c r="B94" s="4">
        <v>2017</v>
      </c>
      <c r="C94" s="4"/>
      <c r="D94" s="4">
        <v>32</v>
      </c>
      <c r="E94" s="4"/>
    </row>
    <row r="95" spans="2:5">
      <c r="B95" s="4">
        <v>2018</v>
      </c>
      <c r="C95" s="4"/>
      <c r="D95" s="4">
        <v>34</v>
      </c>
      <c r="E95" s="4"/>
    </row>
    <row r="96" spans="2:5">
      <c r="B96" s="4">
        <v>2019</v>
      </c>
      <c r="C96" s="4">
        <v>35</v>
      </c>
      <c r="D96" s="4">
        <v>35</v>
      </c>
      <c r="E96" s="4">
        <v>35</v>
      </c>
    </row>
    <row r="97" spans="2:5">
      <c r="B97" s="4">
        <v>2020</v>
      </c>
      <c r="C97" s="4">
        <v>36.19</v>
      </c>
      <c r="D97" s="4">
        <v>39.700000000000003</v>
      </c>
      <c r="E97" s="4">
        <v>43.19</v>
      </c>
    </row>
    <row r="98" spans="2:5">
      <c r="B98" s="4">
        <v>2021</v>
      </c>
      <c r="C98" s="4">
        <v>39.26</v>
      </c>
      <c r="D98" s="4">
        <v>42.9</v>
      </c>
      <c r="E98" s="4">
        <v>47.2</v>
      </c>
    </row>
    <row r="99" spans="2:5">
      <c r="B99" s="4">
        <v>2022</v>
      </c>
      <c r="C99" s="4">
        <v>44.43</v>
      </c>
      <c r="D99" s="4">
        <v>48.4</v>
      </c>
      <c r="E99" s="4">
        <v>53.08</v>
      </c>
    </row>
    <row r="100" spans="2:5">
      <c r="B100" s="4">
        <v>2023</v>
      </c>
      <c r="C100" s="4">
        <v>51.17</v>
      </c>
      <c r="D100" s="4">
        <v>55.6</v>
      </c>
      <c r="E100" s="4">
        <v>60.93</v>
      </c>
    </row>
    <row r="101" spans="2:5">
      <c r="B101" s="4">
        <v>2024</v>
      </c>
      <c r="C101" s="4">
        <v>53.36</v>
      </c>
      <c r="D101" s="4">
        <v>58.5</v>
      </c>
      <c r="E101" s="4">
        <v>64.569999999999993</v>
      </c>
    </row>
    <row r="102" spans="2:5">
      <c r="B102" s="4">
        <v>2025</v>
      </c>
      <c r="C102" s="4">
        <v>56.29</v>
      </c>
      <c r="D102" s="4">
        <v>61.6</v>
      </c>
      <c r="E102" s="4">
        <v>68.08</v>
      </c>
    </row>
    <row r="103" spans="2:5">
      <c r="B103" s="492" t="s">
        <v>1482</v>
      </c>
      <c r="C103" s="492"/>
      <c r="D103" s="492"/>
      <c r="E103" s="492"/>
    </row>
  </sheetData>
  <mergeCells count="9">
    <mergeCell ref="B2:K2"/>
    <mergeCell ref="B16:G16"/>
    <mergeCell ref="B17:B19"/>
    <mergeCell ref="B6:M6"/>
    <mergeCell ref="B103:E103"/>
    <mergeCell ref="B62:E62"/>
    <mergeCell ref="B36:E36"/>
    <mergeCell ref="B34:E34"/>
    <mergeCell ref="B3:K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4:G7"/>
  <sheetViews>
    <sheetView workbookViewId="0">
      <selection activeCell="C5" sqref="C5"/>
    </sheetView>
  </sheetViews>
  <sheetFormatPr defaultRowHeight="15"/>
  <cols>
    <col min="2" max="2" width="91.140625" customWidth="1"/>
    <col min="3" max="3" width="17.42578125" customWidth="1"/>
    <col min="4" max="4" width="14.42578125" customWidth="1"/>
    <col min="5" max="5" width="19" customWidth="1"/>
    <col min="6" max="6" width="5" customWidth="1"/>
    <col min="7" max="7" width="53.5703125" style="31" customWidth="1"/>
    <col min="8" max="10" width="14.5703125" customWidth="1"/>
    <col min="13" max="13" width="24" customWidth="1"/>
    <col min="14" max="16" width="12.5703125" customWidth="1"/>
  </cols>
  <sheetData>
    <row r="4" spans="2:2" ht="41.25" customHeight="1">
      <c r="B4" s="75" t="s">
        <v>70</v>
      </c>
    </row>
    <row r="5" spans="2:2" ht="57.75" customHeight="1">
      <c r="B5" s="10" t="s">
        <v>72</v>
      </c>
    </row>
    <row r="7" spans="2:2">
      <c r="B7" t="s">
        <v>265</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I34"/>
  <sheetViews>
    <sheetView zoomScale="70" zoomScaleNormal="70" workbookViewId="0">
      <selection activeCell="E3" sqref="E3"/>
    </sheetView>
  </sheetViews>
  <sheetFormatPr defaultRowHeight="15"/>
  <cols>
    <col min="1" max="1" width="9.140625" style="70"/>
    <col min="2" max="2" width="11.7109375" style="70" customWidth="1"/>
    <col min="3" max="3" width="19.140625" style="70" customWidth="1"/>
    <col min="4" max="4" width="9.140625" style="70"/>
    <col min="5" max="5" width="71.85546875" style="70" customWidth="1"/>
    <col min="6" max="6" width="11.42578125" style="70" customWidth="1"/>
    <col min="7" max="7" width="16.28515625" style="70" customWidth="1"/>
    <col min="8" max="8" width="16.42578125" style="70" customWidth="1"/>
    <col min="9" max="9" width="17.5703125" style="70" customWidth="1"/>
    <col min="10" max="10" width="12.42578125" style="70" customWidth="1"/>
    <col min="11" max="11" width="13.7109375" style="70" customWidth="1"/>
    <col min="12" max="16384" width="9.140625" style="70"/>
  </cols>
  <sheetData>
    <row r="3" spans="2:9" ht="30">
      <c r="E3" s="206" t="s">
        <v>74</v>
      </c>
    </row>
    <row r="4" spans="2:9" ht="60">
      <c r="E4" s="185" t="s">
        <v>72</v>
      </c>
    </row>
    <row r="5" spans="2:9" ht="53.25" customHeight="1"/>
    <row r="6" spans="2:9" ht="38.25" customHeight="1">
      <c r="B6" s="483" t="s">
        <v>266</v>
      </c>
      <c r="C6" s="484"/>
      <c r="E6" s="483" t="s">
        <v>267</v>
      </c>
      <c r="F6" s="484"/>
      <c r="H6" s="483" t="s">
        <v>268</v>
      </c>
      <c r="I6" s="484"/>
    </row>
    <row r="7" spans="2:9" ht="63.75">
      <c r="B7" s="184" t="s">
        <v>164</v>
      </c>
      <c r="C7" s="184" t="s">
        <v>269</v>
      </c>
      <c r="E7" s="184" t="s">
        <v>164</v>
      </c>
      <c r="F7" s="184" t="s">
        <v>270</v>
      </c>
      <c r="H7" s="184" t="s">
        <v>164</v>
      </c>
      <c r="I7" s="184" t="s">
        <v>269</v>
      </c>
    </row>
    <row r="8" spans="2:9">
      <c r="B8" s="204" t="s">
        <v>271</v>
      </c>
      <c r="C8" s="205">
        <v>1206825.94</v>
      </c>
      <c r="E8" s="204" t="s">
        <v>271</v>
      </c>
      <c r="F8" s="205">
        <v>0.43753999999999998</v>
      </c>
      <c r="H8" s="204" t="s">
        <v>271</v>
      </c>
      <c r="I8" s="205">
        <v>2.5194800000000002</v>
      </c>
    </row>
    <row r="9" spans="2:9">
      <c r="B9" s="204" t="s">
        <v>272</v>
      </c>
      <c r="C9" s="205">
        <v>1202658.06</v>
      </c>
      <c r="E9" s="204" t="s">
        <v>272</v>
      </c>
      <c r="F9" s="205">
        <v>0.41849999999999998</v>
      </c>
      <c r="H9" s="204" t="s">
        <v>272</v>
      </c>
      <c r="I9" s="205">
        <v>2.46753</v>
      </c>
    </row>
    <row r="10" spans="2:9">
      <c r="B10" s="204" t="s">
        <v>273</v>
      </c>
      <c r="C10" s="205">
        <v>1229294.7120000001</v>
      </c>
      <c r="E10" s="204" t="s">
        <v>273</v>
      </c>
      <c r="F10" s="205">
        <v>0.31685000000000002</v>
      </c>
      <c r="H10" s="204" t="s">
        <v>273</v>
      </c>
      <c r="I10" s="205">
        <v>1.8880300000000001</v>
      </c>
    </row>
    <row r="11" spans="2:9">
      <c r="B11" s="204" t="s">
        <v>274</v>
      </c>
      <c r="C11" s="205">
        <v>1300203.03</v>
      </c>
      <c r="E11" s="204" t="s">
        <v>274</v>
      </c>
      <c r="F11" s="205">
        <v>0.32424999999999998</v>
      </c>
      <c r="H11" s="204" t="s">
        <v>274</v>
      </c>
      <c r="I11" s="205">
        <v>2.0204300000000002</v>
      </c>
    </row>
    <row r="12" spans="2:9">
      <c r="B12" s="204" t="s">
        <v>275</v>
      </c>
      <c r="C12" s="205">
        <v>1275230.46</v>
      </c>
      <c r="E12" s="204" t="s">
        <v>275</v>
      </c>
      <c r="F12" s="205">
        <v>0.29237999999999997</v>
      </c>
      <c r="H12" s="204" t="s">
        <v>275</v>
      </c>
      <c r="I12" s="205">
        <v>1.9413800000000001</v>
      </c>
    </row>
    <row r="13" spans="2:9">
      <c r="B13" s="204" t="s">
        <v>276</v>
      </c>
      <c r="C13" s="205">
        <v>1314389.06</v>
      </c>
      <c r="E13" s="204" t="s">
        <v>276</v>
      </c>
      <c r="F13" s="205">
        <v>0.27150999999999997</v>
      </c>
      <c r="H13" s="204" t="s">
        <v>276</v>
      </c>
      <c r="I13" s="205">
        <v>1.8530599999999999</v>
      </c>
    </row>
    <row r="14" spans="2:9">
      <c r="B14" s="204" t="s">
        <v>277</v>
      </c>
      <c r="C14" s="205">
        <v>935834.15</v>
      </c>
      <c r="E14" s="204" t="s">
        <v>277</v>
      </c>
      <c r="F14" s="205">
        <v>0.29587000000000002</v>
      </c>
      <c r="H14" s="204" t="s">
        <v>277</v>
      </c>
      <c r="I14" s="205">
        <v>2.1119699999999999</v>
      </c>
    </row>
    <row r="15" spans="2:9">
      <c r="B15" s="204" t="s">
        <v>278</v>
      </c>
      <c r="C15" s="205">
        <v>1017854.67</v>
      </c>
      <c r="E15" s="204" t="s">
        <v>278</v>
      </c>
      <c r="F15" s="205">
        <v>0.27877000000000002</v>
      </c>
      <c r="H15" s="204" t="s">
        <v>278</v>
      </c>
      <c r="I15" s="205">
        <v>2.06792</v>
      </c>
    </row>
    <row r="16" spans="2:9">
      <c r="B16" s="204" t="s">
        <v>279</v>
      </c>
      <c r="C16" s="205">
        <v>991212.65</v>
      </c>
      <c r="E16" s="204" t="s">
        <v>279</v>
      </c>
      <c r="F16" s="205">
        <v>0.26462999999999998</v>
      </c>
      <c r="H16" s="204" t="s">
        <v>279</v>
      </c>
      <c r="I16" s="205">
        <v>2.0388899999999999</v>
      </c>
    </row>
    <row r="17" spans="2:9">
      <c r="B17" s="204" t="s">
        <v>280</v>
      </c>
      <c r="C17" s="205">
        <v>956585.31</v>
      </c>
      <c r="E17" s="204" t="s">
        <v>280</v>
      </c>
      <c r="F17" s="205">
        <v>0.28528999999999999</v>
      </c>
      <c r="H17" s="204" t="s">
        <v>280</v>
      </c>
      <c r="I17" s="205">
        <v>2.2582200000000001</v>
      </c>
    </row>
    <row r="18" spans="2:9">
      <c r="B18" s="204" t="s">
        <v>281</v>
      </c>
      <c r="C18" s="205">
        <v>1102497.54</v>
      </c>
      <c r="E18" s="204" t="s">
        <v>281</v>
      </c>
      <c r="F18" s="205">
        <v>0.27115</v>
      </c>
      <c r="H18" s="204" t="s">
        <v>281</v>
      </c>
      <c r="I18" s="205">
        <v>2.2511299999999999</v>
      </c>
    </row>
    <row r="19" spans="2:9">
      <c r="B19" s="204" t="s">
        <v>282</v>
      </c>
      <c r="C19" s="205">
        <v>1091752.3400000001</v>
      </c>
      <c r="E19" s="204" t="s">
        <v>282</v>
      </c>
      <c r="F19" s="205">
        <v>0.26865</v>
      </c>
      <c r="H19" s="204" t="s">
        <v>282</v>
      </c>
      <c r="I19" s="205">
        <v>2.3548200000000001</v>
      </c>
    </row>
    <row r="20" spans="2:9">
      <c r="B20" s="204" t="s">
        <v>283</v>
      </c>
      <c r="C20" s="205">
        <v>1088638.6288000001</v>
      </c>
      <c r="E20" s="204" t="s">
        <v>283</v>
      </c>
      <c r="F20" s="205">
        <v>0.25438</v>
      </c>
      <c r="H20" s="204" t="s">
        <v>283</v>
      </c>
      <c r="I20" s="205">
        <v>2.2848999999999999</v>
      </c>
    </row>
    <row r="21" spans="2:9">
      <c r="B21" s="204" t="s">
        <v>284</v>
      </c>
      <c r="C21" s="205">
        <v>1219408.17</v>
      </c>
      <c r="E21" s="204" t="s">
        <v>284</v>
      </c>
      <c r="F21" s="205">
        <v>0.25256000000000001</v>
      </c>
      <c r="H21" s="204" t="s">
        <v>284</v>
      </c>
      <c r="I21" s="205">
        <v>2.3307000000000002</v>
      </c>
    </row>
    <row r="22" spans="2:9">
      <c r="B22" s="204" t="s">
        <v>285</v>
      </c>
      <c r="C22" s="205">
        <v>1351814.9512</v>
      </c>
      <c r="E22" s="204" t="s">
        <v>285</v>
      </c>
      <c r="F22" s="205">
        <v>0.25689000000000001</v>
      </c>
      <c r="H22" s="204" t="s">
        <v>285</v>
      </c>
      <c r="I22" s="205">
        <v>2.3729300000000002</v>
      </c>
    </row>
    <row r="23" spans="2:9">
      <c r="B23" s="204" t="s">
        <v>286</v>
      </c>
      <c r="C23" s="205">
        <v>1403814.5789000001</v>
      </c>
      <c r="E23" s="204" t="s">
        <v>286</v>
      </c>
      <c r="F23" s="205">
        <v>0.27384999999999998</v>
      </c>
      <c r="H23" s="204" t="s">
        <v>286</v>
      </c>
      <c r="I23" s="205">
        <v>2.4394</v>
      </c>
    </row>
    <row r="24" spans="2:9">
      <c r="B24" s="204" t="s">
        <v>287</v>
      </c>
      <c r="C24" s="205">
        <v>1365997.6535</v>
      </c>
      <c r="E24" s="204" t="s">
        <v>287</v>
      </c>
      <c r="F24" s="205">
        <v>0.28023999999999999</v>
      </c>
      <c r="H24" s="204" t="s">
        <v>287</v>
      </c>
      <c r="I24" s="205">
        <v>2.3492799999999998</v>
      </c>
    </row>
    <row r="25" spans="2:9">
      <c r="B25" s="204" t="s">
        <v>288</v>
      </c>
      <c r="C25" s="205">
        <v>1414360.16028</v>
      </c>
      <c r="E25" s="204" t="s">
        <v>288</v>
      </c>
      <c r="F25" s="205">
        <v>0.28567999999999999</v>
      </c>
      <c r="H25" s="204" t="s">
        <v>288</v>
      </c>
      <c r="I25" s="205">
        <v>2.4071799999999999</v>
      </c>
    </row>
    <row r="26" spans="2:9">
      <c r="B26" s="204" t="s">
        <v>289</v>
      </c>
      <c r="C26" s="205">
        <v>1394827.48866</v>
      </c>
      <c r="E26" s="204" t="s">
        <v>289</v>
      </c>
      <c r="F26" s="205">
        <v>0.26845000000000002</v>
      </c>
      <c r="H26" s="204" t="s">
        <v>289</v>
      </c>
      <c r="I26" s="205">
        <v>2.3493200000000001</v>
      </c>
    </row>
    <row r="27" spans="2:9">
      <c r="B27" s="204" t="s">
        <v>290</v>
      </c>
      <c r="C27" s="205">
        <v>1421843.4707500001</v>
      </c>
      <c r="E27" s="204" t="s">
        <v>290</v>
      </c>
      <c r="F27" s="205">
        <v>0.27050000000000002</v>
      </c>
      <c r="H27" s="204" t="s">
        <v>290</v>
      </c>
      <c r="I27" s="205">
        <v>2.3685499999999999</v>
      </c>
    </row>
    <row r="28" spans="2:9">
      <c r="B28" s="204" t="s">
        <v>291</v>
      </c>
      <c r="C28" s="205">
        <v>1131458.82571</v>
      </c>
      <c r="E28" s="204" t="s">
        <v>291</v>
      </c>
      <c r="F28" s="205">
        <v>0.25618000000000002</v>
      </c>
      <c r="H28" s="204" t="s">
        <v>291</v>
      </c>
      <c r="I28" s="205">
        <v>1.86382</v>
      </c>
    </row>
    <row r="29" spans="2:9">
      <c r="B29" s="204" t="s">
        <v>292</v>
      </c>
      <c r="C29" s="205">
        <v>1114880.3953100001</v>
      </c>
      <c r="E29" s="204" t="s">
        <v>292</v>
      </c>
      <c r="F29" s="205">
        <v>0.25872000000000001</v>
      </c>
      <c r="H29" s="204" t="s">
        <v>292</v>
      </c>
      <c r="I29" s="205">
        <v>1.81877</v>
      </c>
    </row>
    <row r="30" spans="2:9">
      <c r="B30" s="204" t="s">
        <v>293</v>
      </c>
      <c r="C30" s="205">
        <v>1141254.77415</v>
      </c>
      <c r="E30" s="204" t="s">
        <v>293</v>
      </c>
      <c r="F30" s="205">
        <v>0.25855</v>
      </c>
      <c r="H30" s="204" t="s">
        <v>293</v>
      </c>
      <c r="I30" s="205">
        <v>1.84657</v>
      </c>
    </row>
    <row r="31" spans="2:9">
      <c r="B31" s="194" t="s">
        <v>294</v>
      </c>
      <c r="E31" s="194" t="s">
        <v>295</v>
      </c>
      <c r="H31" s="194" t="s">
        <v>295</v>
      </c>
    </row>
    <row r="32" spans="2:9">
      <c r="B32" s="195" t="s">
        <v>216</v>
      </c>
      <c r="E32" s="195" t="s">
        <v>216</v>
      </c>
      <c r="H32" s="195" t="s">
        <v>216</v>
      </c>
    </row>
    <row r="33" spans="2:8">
      <c r="B33" s="70" t="s">
        <v>296</v>
      </c>
      <c r="E33" s="70" t="s">
        <v>296</v>
      </c>
      <c r="H33" s="70" t="s">
        <v>296</v>
      </c>
    </row>
    <row r="34" spans="2:8">
      <c r="B34" s="70" t="s">
        <v>297</v>
      </c>
      <c r="E34" s="70" t="s">
        <v>297</v>
      </c>
      <c r="H34" s="70" t="s">
        <v>297</v>
      </c>
    </row>
  </sheetData>
  <mergeCells count="3">
    <mergeCell ref="B6:C6"/>
    <mergeCell ref="E6:F6"/>
    <mergeCell ref="H6:I6"/>
  </mergeCells>
  <hyperlinks>
    <hyperlink ref="B32" r:id="rId1" xr:uid="{075A0A52-EEE2-4CB5-AF8C-CC9C2D087A78}"/>
    <hyperlink ref="E32" r:id="rId2" xr:uid="{3C875837-8F51-4EE8-BAD3-F547FA6A71AF}"/>
    <hyperlink ref="H32" r:id="rId3" xr:uid="{A9C44654-5338-4F5F-8DC4-6B259B330477}"/>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C2:Z202"/>
  <sheetViews>
    <sheetView zoomScale="60" zoomScaleNormal="60" workbookViewId="0">
      <selection activeCell="C115" sqref="C115:H115"/>
    </sheetView>
  </sheetViews>
  <sheetFormatPr defaultRowHeight="15"/>
  <cols>
    <col min="1" max="2" width="9.140625" style="70"/>
    <col min="3" max="3" width="42.140625" style="216" customWidth="1"/>
    <col min="4" max="4" width="13.42578125" style="70" customWidth="1"/>
    <col min="5" max="5" width="14.7109375" style="70" customWidth="1"/>
    <col min="6" max="6" width="12.85546875" style="70" customWidth="1"/>
    <col min="7" max="7" width="12.5703125" style="70" customWidth="1"/>
    <col min="8" max="8" width="15.85546875" style="70" customWidth="1"/>
    <col min="9" max="9" width="10" style="70" customWidth="1"/>
    <col min="10" max="10" width="10.28515625" style="70" customWidth="1"/>
    <col min="11" max="11" width="15.85546875" style="70" customWidth="1"/>
    <col min="12" max="12" width="9.7109375" style="70" customWidth="1"/>
    <col min="13" max="13" width="10" style="70" customWidth="1"/>
    <col min="14" max="14" width="15.85546875" style="70" customWidth="1"/>
    <col min="15" max="15" width="9" style="70" customWidth="1"/>
    <col min="16" max="16" width="10.42578125" style="70" customWidth="1"/>
    <col min="17" max="17" width="15.85546875" style="70" customWidth="1"/>
    <col min="18" max="18" width="10.28515625" style="70" customWidth="1"/>
    <col min="19" max="19" width="15.85546875" style="70" customWidth="1"/>
    <col min="20" max="20" width="21.85546875" style="70" customWidth="1"/>
    <col min="21" max="21" width="15.85546875" style="70" customWidth="1"/>
    <col min="22" max="22" width="16.28515625" style="70" customWidth="1"/>
    <col min="23" max="23" width="15.28515625" style="70" customWidth="1"/>
    <col min="24" max="24" width="9.140625" style="70"/>
    <col min="25" max="25" width="17.140625" style="70" customWidth="1"/>
    <col min="26" max="16384" width="9.140625" style="70"/>
  </cols>
  <sheetData>
    <row r="2" spans="3:9" ht="22.5" customHeight="1">
      <c r="C2" s="481" t="s">
        <v>81</v>
      </c>
      <c r="D2" s="481"/>
      <c r="E2" s="481"/>
      <c r="F2" s="481"/>
      <c r="G2" s="481"/>
      <c r="H2" s="481"/>
      <c r="I2" s="481"/>
    </row>
    <row r="3" spans="3:9" ht="39" customHeight="1">
      <c r="C3" s="513" t="s">
        <v>83</v>
      </c>
      <c r="D3" s="513"/>
      <c r="E3" s="513"/>
      <c r="F3" s="513"/>
      <c r="G3" s="513"/>
      <c r="H3" s="513"/>
      <c r="I3" s="513"/>
    </row>
    <row r="4" spans="3:9">
      <c r="C4" s="525" t="s">
        <v>298</v>
      </c>
      <c r="D4" s="525"/>
      <c r="E4" s="525"/>
      <c r="F4" s="525"/>
      <c r="G4" s="525"/>
      <c r="H4" s="525"/>
      <c r="I4" s="525"/>
    </row>
    <row r="5" spans="3:9" ht="168.75" customHeight="1">
      <c r="C5" s="513" t="s">
        <v>299</v>
      </c>
      <c r="D5" s="513"/>
      <c r="E5" s="513"/>
      <c r="F5" s="513"/>
      <c r="G5" s="513"/>
      <c r="H5" s="513"/>
      <c r="I5" s="513"/>
    </row>
    <row r="7" spans="3:9">
      <c r="C7" s="526" t="s">
        <v>300</v>
      </c>
      <c r="D7" s="526"/>
      <c r="E7" s="526"/>
      <c r="F7" s="526"/>
      <c r="G7" s="526"/>
    </row>
    <row r="9" spans="3:9">
      <c r="C9" s="514" t="s">
        <v>301</v>
      </c>
      <c r="D9" s="515"/>
      <c r="E9" s="515"/>
      <c r="F9" s="515"/>
      <c r="G9" s="516"/>
    </row>
    <row r="10" spans="3:9" ht="28.5" customHeight="1">
      <c r="C10" s="207" t="s">
        <v>302</v>
      </c>
      <c r="D10" s="207" t="s">
        <v>164</v>
      </c>
      <c r="E10" s="517" t="s">
        <v>303</v>
      </c>
      <c r="F10" s="518"/>
      <c r="G10" s="519"/>
    </row>
    <row r="11" spans="3:9">
      <c r="C11" s="208"/>
      <c r="D11" s="209"/>
      <c r="E11" s="210" t="s">
        <v>304</v>
      </c>
      <c r="F11" s="210" t="s">
        <v>305</v>
      </c>
      <c r="G11" s="210" t="s">
        <v>306</v>
      </c>
    </row>
    <row r="12" spans="3:9" ht="15" customHeight="1">
      <c r="C12" s="529" t="s">
        <v>307</v>
      </c>
      <c r="D12" s="186">
        <v>2011</v>
      </c>
      <c r="E12" s="211">
        <v>480</v>
      </c>
      <c r="F12" s="212">
        <v>303</v>
      </c>
      <c r="G12" s="212">
        <v>783</v>
      </c>
    </row>
    <row r="13" spans="3:9" ht="15" customHeight="1">
      <c r="C13" s="530"/>
      <c r="D13" s="186">
        <v>2013</v>
      </c>
      <c r="E13" s="213">
        <v>1012</v>
      </c>
      <c r="F13" s="214">
        <v>1007</v>
      </c>
      <c r="G13" s="214">
        <v>2020</v>
      </c>
    </row>
    <row r="14" spans="3:9">
      <c r="C14" s="530"/>
      <c r="D14" s="186">
        <v>2014</v>
      </c>
      <c r="E14" s="211">
        <v>265</v>
      </c>
      <c r="F14" s="212">
        <v>357</v>
      </c>
      <c r="G14" s="212">
        <v>622</v>
      </c>
    </row>
    <row r="15" spans="3:9">
      <c r="C15" s="530"/>
      <c r="D15" s="186">
        <v>2015</v>
      </c>
      <c r="E15" s="211">
        <v>233</v>
      </c>
      <c r="F15" s="212">
        <v>266</v>
      </c>
      <c r="G15" s="212">
        <v>499</v>
      </c>
    </row>
    <row r="16" spans="3:9">
      <c r="C16" s="530"/>
      <c r="D16" s="186">
        <v>2016</v>
      </c>
      <c r="E16" s="211">
        <v>367</v>
      </c>
      <c r="F16" s="212">
        <v>215</v>
      </c>
      <c r="G16" s="212">
        <v>582</v>
      </c>
    </row>
    <row r="17" spans="3:7">
      <c r="C17" s="530"/>
      <c r="D17" s="186">
        <v>2017</v>
      </c>
      <c r="E17" s="211">
        <v>618</v>
      </c>
      <c r="F17" s="212">
        <v>473</v>
      </c>
      <c r="G17" s="212">
        <v>1091</v>
      </c>
    </row>
    <row r="18" spans="3:7">
      <c r="C18" s="531"/>
      <c r="D18" s="186">
        <v>2018</v>
      </c>
      <c r="E18" s="211">
        <v>1183</v>
      </c>
      <c r="F18" s="212">
        <v>709</v>
      </c>
      <c r="G18" s="212">
        <v>1892</v>
      </c>
    </row>
    <row r="19" spans="3:7">
      <c r="C19" s="529" t="s">
        <v>308</v>
      </c>
      <c r="D19" s="186">
        <v>2011</v>
      </c>
      <c r="E19" s="213">
        <v>1529</v>
      </c>
      <c r="F19" s="214">
        <v>4675</v>
      </c>
      <c r="G19" s="214">
        <v>6203</v>
      </c>
    </row>
    <row r="20" spans="3:7">
      <c r="C20" s="530"/>
      <c r="D20" s="186">
        <v>2013</v>
      </c>
      <c r="E20" s="213">
        <v>3187</v>
      </c>
      <c r="F20" s="214">
        <v>3629</v>
      </c>
      <c r="G20" s="214">
        <v>6815</v>
      </c>
    </row>
    <row r="21" spans="3:7">
      <c r="C21" s="530"/>
      <c r="D21" s="186">
        <v>2014</v>
      </c>
      <c r="E21" s="213">
        <v>2149</v>
      </c>
      <c r="F21" s="214">
        <v>4049</v>
      </c>
      <c r="G21" s="214">
        <v>6198</v>
      </c>
    </row>
    <row r="22" spans="3:7">
      <c r="C22" s="530"/>
      <c r="D22" s="186">
        <v>2015</v>
      </c>
      <c r="E22" s="213">
        <v>1775</v>
      </c>
      <c r="F22" s="214">
        <v>3976</v>
      </c>
      <c r="G22" s="214">
        <v>5750</v>
      </c>
    </row>
    <row r="23" spans="3:7">
      <c r="C23" s="530"/>
      <c r="D23" s="186">
        <v>2016</v>
      </c>
      <c r="E23" s="213">
        <v>1726</v>
      </c>
      <c r="F23" s="214">
        <v>3483</v>
      </c>
      <c r="G23" s="214">
        <v>5209</v>
      </c>
    </row>
    <row r="24" spans="3:7">
      <c r="C24" s="530"/>
      <c r="D24" s="186">
        <v>2017</v>
      </c>
      <c r="E24" s="211">
        <v>1795</v>
      </c>
      <c r="F24" s="212">
        <v>3524</v>
      </c>
      <c r="G24" s="212">
        <v>5319</v>
      </c>
    </row>
    <row r="25" spans="3:7">
      <c r="C25" s="531"/>
      <c r="D25" s="186">
        <v>2018</v>
      </c>
      <c r="E25" s="211">
        <v>2968</v>
      </c>
      <c r="F25" s="212">
        <v>4655</v>
      </c>
      <c r="G25" s="212">
        <v>7623</v>
      </c>
    </row>
    <row r="26" spans="3:7">
      <c r="C26" s="532" t="s">
        <v>309</v>
      </c>
      <c r="D26" s="186">
        <v>2011</v>
      </c>
      <c r="E26" s="213">
        <v>2719</v>
      </c>
      <c r="F26" s="214">
        <v>7589</v>
      </c>
      <c r="G26" s="214">
        <v>10308</v>
      </c>
    </row>
    <row r="27" spans="3:7">
      <c r="C27" s="533"/>
      <c r="D27" s="186">
        <v>2013</v>
      </c>
      <c r="E27" s="213">
        <v>2025</v>
      </c>
      <c r="F27" s="214">
        <v>7188</v>
      </c>
      <c r="G27" s="214">
        <v>9213</v>
      </c>
    </row>
    <row r="28" spans="3:7">
      <c r="C28" s="533"/>
      <c r="D28" s="186">
        <v>2014</v>
      </c>
      <c r="E28" s="213">
        <v>3515</v>
      </c>
      <c r="F28" s="214">
        <v>9111</v>
      </c>
      <c r="G28" s="214">
        <v>12626</v>
      </c>
    </row>
    <row r="29" spans="3:7">
      <c r="C29" s="533"/>
      <c r="D29" s="186">
        <v>2015</v>
      </c>
      <c r="E29" s="213">
        <v>3682</v>
      </c>
      <c r="F29" s="214">
        <v>8341</v>
      </c>
      <c r="G29" s="214">
        <v>12024</v>
      </c>
    </row>
    <row r="30" spans="3:7">
      <c r="C30" s="533"/>
      <c r="D30" s="186">
        <v>2016</v>
      </c>
      <c r="E30" s="213">
        <v>3161</v>
      </c>
      <c r="F30" s="214">
        <v>9450</v>
      </c>
      <c r="G30" s="214">
        <v>12610</v>
      </c>
    </row>
    <row r="31" spans="3:7">
      <c r="C31" s="533"/>
      <c r="D31" s="186">
        <v>2017</v>
      </c>
      <c r="E31" s="211">
        <v>2924</v>
      </c>
      <c r="F31" s="212">
        <v>8194</v>
      </c>
      <c r="G31" s="212">
        <v>11120</v>
      </c>
    </row>
    <row r="32" spans="3:7">
      <c r="C32" s="534"/>
      <c r="D32" s="186">
        <v>2018</v>
      </c>
      <c r="E32" s="211">
        <v>2585</v>
      </c>
      <c r="F32" s="212">
        <v>8237</v>
      </c>
      <c r="G32" s="212">
        <v>10823</v>
      </c>
    </row>
    <row r="33" spans="3:7">
      <c r="C33" s="532" t="s">
        <v>310</v>
      </c>
      <c r="D33" s="186">
        <v>2011</v>
      </c>
      <c r="E33" s="213">
        <v>4723</v>
      </c>
      <c r="F33" s="214">
        <v>4904</v>
      </c>
      <c r="G33" s="214">
        <v>9627</v>
      </c>
    </row>
    <row r="34" spans="3:7">
      <c r="C34" s="533"/>
      <c r="D34" s="186">
        <v>2013</v>
      </c>
      <c r="E34" s="213">
        <v>3719</v>
      </c>
      <c r="F34" s="214">
        <v>3645</v>
      </c>
      <c r="G34" s="214">
        <v>7364</v>
      </c>
    </row>
    <row r="35" spans="3:7">
      <c r="C35" s="533"/>
      <c r="D35" s="186">
        <v>2014</v>
      </c>
      <c r="E35" s="213">
        <v>4446</v>
      </c>
      <c r="F35" s="214">
        <v>4475</v>
      </c>
      <c r="G35" s="214">
        <v>8921</v>
      </c>
    </row>
    <row r="36" spans="3:7">
      <c r="C36" s="533"/>
      <c r="D36" s="186">
        <v>2015</v>
      </c>
      <c r="E36" s="213">
        <v>3782</v>
      </c>
      <c r="F36" s="214">
        <v>2488</v>
      </c>
      <c r="G36" s="214">
        <v>6270</v>
      </c>
    </row>
    <row r="37" spans="3:7">
      <c r="C37" s="533"/>
      <c r="D37" s="186">
        <v>2016</v>
      </c>
      <c r="E37" s="213">
        <v>4910</v>
      </c>
      <c r="F37" s="214">
        <v>4051</v>
      </c>
      <c r="G37" s="214">
        <v>8962</v>
      </c>
    </row>
    <row r="38" spans="3:7">
      <c r="C38" s="533"/>
      <c r="D38" s="186">
        <v>2017</v>
      </c>
      <c r="E38" s="211">
        <v>4869</v>
      </c>
      <c r="F38" s="212">
        <v>3388</v>
      </c>
      <c r="G38" s="212">
        <v>8257</v>
      </c>
    </row>
    <row r="39" spans="3:7">
      <c r="C39" s="534"/>
      <c r="D39" s="186">
        <v>2018</v>
      </c>
      <c r="E39" s="211">
        <v>4462</v>
      </c>
      <c r="F39" s="212">
        <v>4220</v>
      </c>
      <c r="G39" s="212">
        <v>8682</v>
      </c>
    </row>
    <row r="40" spans="3:7">
      <c r="C40" s="532" t="s">
        <v>311</v>
      </c>
      <c r="D40" s="186">
        <v>2011</v>
      </c>
      <c r="E40" s="213">
        <v>71573</v>
      </c>
      <c r="F40" s="214">
        <v>34068</v>
      </c>
      <c r="G40" s="214">
        <v>105641</v>
      </c>
    </row>
    <row r="41" spans="3:7">
      <c r="C41" s="533"/>
      <c r="D41" s="186">
        <v>2013</v>
      </c>
      <c r="E41" s="213">
        <v>74927</v>
      </c>
      <c r="F41" s="214">
        <v>37823</v>
      </c>
      <c r="G41" s="214">
        <v>112750</v>
      </c>
    </row>
    <row r="42" spans="3:7">
      <c r="C42" s="533"/>
      <c r="D42" s="186">
        <v>2014</v>
      </c>
      <c r="E42" s="213">
        <v>74978</v>
      </c>
      <c r="F42" s="214">
        <v>37191</v>
      </c>
      <c r="G42" s="214">
        <v>112169</v>
      </c>
    </row>
    <row r="43" spans="3:7">
      <c r="C43" s="533"/>
      <c r="D43" s="186">
        <v>2015</v>
      </c>
      <c r="E43" s="213">
        <v>69547</v>
      </c>
      <c r="F43" s="214">
        <v>36225</v>
      </c>
      <c r="G43" s="214">
        <v>105772</v>
      </c>
    </row>
    <row r="44" spans="3:7">
      <c r="C44" s="533"/>
      <c r="D44" s="186">
        <v>2016</v>
      </c>
      <c r="E44" s="213">
        <v>68135</v>
      </c>
      <c r="F44" s="214">
        <v>33841</v>
      </c>
      <c r="G44" s="214">
        <v>101976</v>
      </c>
    </row>
    <row r="45" spans="3:7">
      <c r="C45" s="533"/>
      <c r="D45" s="186">
        <v>2017</v>
      </c>
      <c r="E45" s="211">
        <v>70990</v>
      </c>
      <c r="F45" s="212">
        <v>36715</v>
      </c>
      <c r="G45" s="212">
        <v>107706</v>
      </c>
    </row>
    <row r="46" spans="3:7">
      <c r="C46" s="534"/>
      <c r="D46" s="186">
        <v>2018</v>
      </c>
      <c r="E46" s="211">
        <v>65564</v>
      </c>
      <c r="F46" s="212">
        <v>30475</v>
      </c>
      <c r="G46" s="212">
        <v>96039</v>
      </c>
    </row>
    <row r="47" spans="3:7">
      <c r="C47" s="532" t="s">
        <v>312</v>
      </c>
      <c r="D47" s="186">
        <v>2011</v>
      </c>
      <c r="E47" s="213">
        <v>2461</v>
      </c>
      <c r="F47" s="212">
        <v>797</v>
      </c>
      <c r="G47" s="214">
        <v>3258</v>
      </c>
    </row>
    <row r="48" spans="3:7">
      <c r="C48" s="533"/>
      <c r="D48" s="186">
        <v>2013</v>
      </c>
      <c r="E48" s="213">
        <v>1955</v>
      </c>
      <c r="F48" s="212">
        <v>779</v>
      </c>
      <c r="G48" s="214">
        <v>2734</v>
      </c>
    </row>
    <row r="49" spans="3:7">
      <c r="C49" s="533"/>
      <c r="D49" s="186">
        <v>2014</v>
      </c>
      <c r="E49" s="213">
        <v>3407</v>
      </c>
      <c r="F49" s="214">
        <v>1091</v>
      </c>
      <c r="G49" s="214">
        <v>4499</v>
      </c>
    </row>
    <row r="50" spans="3:7">
      <c r="C50" s="533"/>
      <c r="D50" s="186">
        <v>2015</v>
      </c>
      <c r="E50" s="213">
        <v>5071</v>
      </c>
      <c r="F50" s="214">
        <v>1062</v>
      </c>
      <c r="G50" s="214">
        <v>6133</v>
      </c>
    </row>
    <row r="51" spans="3:7">
      <c r="C51" s="533"/>
      <c r="D51" s="186">
        <v>2016</v>
      </c>
      <c r="E51" s="213">
        <v>3204</v>
      </c>
      <c r="F51" s="214">
        <v>1119</v>
      </c>
      <c r="G51" s="214">
        <v>4323</v>
      </c>
    </row>
    <row r="52" spans="3:7">
      <c r="C52" s="533"/>
      <c r="D52" s="186">
        <v>2017</v>
      </c>
      <c r="E52" s="211">
        <v>3387</v>
      </c>
      <c r="F52" s="212">
        <v>1190</v>
      </c>
      <c r="G52" s="212">
        <v>4577</v>
      </c>
    </row>
    <row r="53" spans="3:7">
      <c r="C53" s="534"/>
      <c r="D53" s="186">
        <v>2018</v>
      </c>
      <c r="E53" s="211">
        <v>8552</v>
      </c>
      <c r="F53" s="212">
        <v>3452</v>
      </c>
      <c r="G53" s="212">
        <v>12003</v>
      </c>
    </row>
    <row r="54" spans="3:7">
      <c r="C54" s="532" t="s">
        <v>306</v>
      </c>
      <c r="D54" s="186">
        <v>2011</v>
      </c>
      <c r="E54" s="213">
        <v>83486</v>
      </c>
      <c r="F54" s="214">
        <v>52335</v>
      </c>
      <c r="G54" s="214">
        <v>135820</v>
      </c>
    </row>
    <row r="55" spans="3:7">
      <c r="C55" s="533"/>
      <c r="D55" s="186">
        <v>2013</v>
      </c>
      <c r="E55" s="213">
        <v>86825</v>
      </c>
      <c r="F55" s="214">
        <v>54070</v>
      </c>
      <c r="G55" s="214">
        <v>140895</v>
      </c>
    </row>
    <row r="56" spans="3:7">
      <c r="C56" s="533"/>
      <c r="D56" s="186">
        <v>2014</v>
      </c>
      <c r="E56" s="213">
        <v>88760</v>
      </c>
      <c r="F56" s="214">
        <v>56276</v>
      </c>
      <c r="G56" s="214">
        <v>145036</v>
      </c>
    </row>
    <row r="57" spans="3:7">
      <c r="C57" s="533"/>
      <c r="D57" s="186">
        <v>2015</v>
      </c>
      <c r="E57" s="213">
        <v>84089</v>
      </c>
      <c r="F57" s="214">
        <v>52358</v>
      </c>
      <c r="G57" s="214">
        <v>136447</v>
      </c>
    </row>
    <row r="58" spans="3:7">
      <c r="C58" s="533"/>
      <c r="D58" s="186">
        <v>2016</v>
      </c>
      <c r="E58" s="213">
        <v>81503</v>
      </c>
      <c r="F58" s="214">
        <v>52159</v>
      </c>
      <c r="G58" s="214">
        <v>133663</v>
      </c>
    </row>
    <row r="59" spans="3:7">
      <c r="C59" s="533"/>
      <c r="D59" s="186">
        <v>2017</v>
      </c>
      <c r="E59" s="211">
        <v>84585</v>
      </c>
      <c r="F59" s="212">
        <v>53486</v>
      </c>
      <c r="G59" s="212">
        <v>138071</v>
      </c>
    </row>
    <row r="60" spans="3:7">
      <c r="C60" s="534"/>
      <c r="D60" s="186">
        <v>2018</v>
      </c>
      <c r="E60" s="211">
        <v>85312</v>
      </c>
      <c r="F60" s="212">
        <v>51746</v>
      </c>
      <c r="G60" s="212">
        <v>137059</v>
      </c>
    </row>
    <row r="61" spans="3:7">
      <c r="C61" s="523" t="s">
        <v>313</v>
      </c>
      <c r="D61" s="523"/>
      <c r="E61" s="523"/>
      <c r="F61" s="523"/>
      <c r="G61" s="523"/>
    </row>
    <row r="62" spans="3:7" ht="15.75">
      <c r="C62" s="215"/>
    </row>
    <row r="63" spans="3:7" ht="15" customHeight="1"/>
    <row r="65" spans="3:26" ht="14.25" customHeight="1">
      <c r="C65" s="522" t="s">
        <v>314</v>
      </c>
      <c r="D65" s="522"/>
      <c r="E65" s="522"/>
      <c r="F65" s="522"/>
      <c r="G65" s="522"/>
      <c r="H65" s="522"/>
      <c r="I65" s="522"/>
      <c r="J65" s="522"/>
      <c r="K65" s="522"/>
      <c r="L65" s="522"/>
      <c r="M65" s="522"/>
      <c r="N65" s="522"/>
      <c r="O65" s="522"/>
      <c r="P65" s="522"/>
      <c r="Q65" s="522"/>
      <c r="R65" s="522"/>
      <c r="S65" s="217"/>
    </row>
    <row r="66" spans="3:26" ht="18" customHeight="1">
      <c r="C66" s="524" t="s">
        <v>315</v>
      </c>
      <c r="D66" s="520" t="s">
        <v>316</v>
      </c>
      <c r="E66" s="521"/>
      <c r="F66" s="521"/>
      <c r="G66" s="520" t="s">
        <v>317</v>
      </c>
      <c r="H66" s="521"/>
      <c r="I66" s="521"/>
      <c r="J66" s="520" t="s">
        <v>318</v>
      </c>
      <c r="K66" s="521"/>
      <c r="L66" s="521"/>
      <c r="M66" s="520" t="s">
        <v>319</v>
      </c>
      <c r="N66" s="521"/>
      <c r="O66" s="521"/>
      <c r="P66" s="520" t="s">
        <v>320</v>
      </c>
      <c r="Q66" s="521"/>
      <c r="R66" s="521"/>
      <c r="S66" s="217"/>
      <c r="T66" s="503" t="s">
        <v>321</v>
      </c>
      <c r="U66" s="500" t="s">
        <v>322</v>
      </c>
      <c r="V66" s="501"/>
      <c r="W66" s="502"/>
      <c r="X66" s="500" t="s">
        <v>323</v>
      </c>
      <c r="Y66" s="501"/>
      <c r="Z66" s="502"/>
    </row>
    <row r="67" spans="3:26" ht="46.5" customHeight="1">
      <c r="C67" s="524"/>
      <c r="D67" s="219" t="s">
        <v>324</v>
      </c>
      <c r="E67" s="219" t="s">
        <v>325</v>
      </c>
      <c r="F67" s="219" t="s">
        <v>220</v>
      </c>
      <c r="G67" s="219" t="s">
        <v>324</v>
      </c>
      <c r="H67" s="219" t="s">
        <v>325</v>
      </c>
      <c r="I67" s="219" t="s">
        <v>220</v>
      </c>
      <c r="J67" s="219" t="s">
        <v>324</v>
      </c>
      <c r="K67" s="219" t="s">
        <v>325</v>
      </c>
      <c r="L67" s="219" t="s">
        <v>220</v>
      </c>
      <c r="M67" s="220" t="s">
        <v>324</v>
      </c>
      <c r="N67" s="219" t="s">
        <v>325</v>
      </c>
      <c r="O67" s="219" t="s">
        <v>220</v>
      </c>
      <c r="P67" s="219" t="s">
        <v>324</v>
      </c>
      <c r="Q67" s="219" t="s">
        <v>325</v>
      </c>
      <c r="R67" s="219" t="s">
        <v>220</v>
      </c>
      <c r="S67" s="221"/>
      <c r="T67" s="504"/>
      <c r="U67" s="218" t="s">
        <v>324</v>
      </c>
      <c r="V67" s="218" t="s">
        <v>325</v>
      </c>
      <c r="W67" s="218" t="s">
        <v>326</v>
      </c>
      <c r="X67" s="218" t="s">
        <v>324</v>
      </c>
      <c r="Y67" s="218" t="s">
        <v>325</v>
      </c>
      <c r="Z67" s="218" t="s">
        <v>326</v>
      </c>
    </row>
    <row r="68" spans="3:26" ht="18" customHeight="1">
      <c r="C68" s="222" t="s">
        <v>327</v>
      </c>
      <c r="D68" s="223">
        <v>1602</v>
      </c>
      <c r="E68" s="223">
        <v>578987.96</v>
      </c>
      <c r="F68" s="223">
        <v>361.42</v>
      </c>
      <c r="G68" s="223">
        <v>1628</v>
      </c>
      <c r="H68" s="223">
        <v>592790.07999999996</v>
      </c>
      <c r="I68" s="223">
        <v>364.12</v>
      </c>
      <c r="J68" s="224">
        <v>1532</v>
      </c>
      <c r="K68" s="225">
        <v>686791.45</v>
      </c>
      <c r="L68" s="223">
        <v>448.3</v>
      </c>
      <c r="M68" s="226">
        <v>1479</v>
      </c>
      <c r="N68" s="225">
        <v>668358.34</v>
      </c>
      <c r="O68" s="223">
        <v>451.9</v>
      </c>
      <c r="P68" s="224">
        <v>1449</v>
      </c>
      <c r="Q68" s="225">
        <v>663051.68999999994</v>
      </c>
      <c r="R68" s="223">
        <v>457.59</v>
      </c>
      <c r="S68" s="227"/>
      <c r="T68" s="228" t="s">
        <v>328</v>
      </c>
      <c r="U68" s="224">
        <v>259</v>
      </c>
      <c r="V68" s="225">
        <f>150819.72</f>
        <v>150819.72</v>
      </c>
      <c r="W68" s="229">
        <f>(V68/U68)</f>
        <v>582.31552123552126</v>
      </c>
      <c r="X68" s="224">
        <v>277</v>
      </c>
      <c r="Y68" s="229">
        <f>156424.58</f>
        <v>156424.57999999999</v>
      </c>
      <c r="Z68" s="229">
        <f>(Y68/X68)</f>
        <v>564.70967509025263</v>
      </c>
    </row>
    <row r="69" spans="3:26">
      <c r="C69" s="222" t="s">
        <v>329</v>
      </c>
      <c r="D69" s="223">
        <v>2190</v>
      </c>
      <c r="E69" s="223">
        <v>1804961.88</v>
      </c>
      <c r="F69" s="223">
        <v>824.18</v>
      </c>
      <c r="G69" s="223">
        <v>1846</v>
      </c>
      <c r="H69" s="223">
        <v>1436785.75</v>
      </c>
      <c r="I69" s="223">
        <v>778.32</v>
      </c>
      <c r="J69" s="224">
        <v>2258</v>
      </c>
      <c r="K69" s="225">
        <v>1773646</v>
      </c>
      <c r="L69" s="223">
        <v>785.49</v>
      </c>
      <c r="M69" s="226">
        <v>1843</v>
      </c>
      <c r="N69" s="225">
        <v>1306959.05</v>
      </c>
      <c r="O69" s="223">
        <v>709.15</v>
      </c>
      <c r="P69" s="223">
        <v>843</v>
      </c>
      <c r="Q69" s="225">
        <v>620571.6</v>
      </c>
      <c r="R69" s="223">
        <v>736.15</v>
      </c>
      <c r="S69" s="230"/>
      <c r="T69" s="228" t="s">
        <v>330</v>
      </c>
      <c r="U69" s="224">
        <v>3138</v>
      </c>
      <c r="V69" s="225">
        <f>3410035.34</f>
        <v>3410035.34</v>
      </c>
      <c r="W69" s="229">
        <f t="shared" ref="W69:W85" si="0">(V69/U69)</f>
        <v>1086.6906755895475</v>
      </c>
      <c r="X69" s="223">
        <v>2512</v>
      </c>
      <c r="Y69" s="225">
        <f>2426626.25</f>
        <v>2426626.25</v>
      </c>
      <c r="Z69" s="229">
        <f t="shared" ref="Z69:Z85" si="1">(Y69/X69)</f>
        <v>966.01363455414014</v>
      </c>
    </row>
    <row r="70" spans="3:26">
      <c r="C70" s="222" t="s">
        <v>331</v>
      </c>
      <c r="D70" s="223">
        <v>8635</v>
      </c>
      <c r="E70" s="223">
        <v>10651609.08</v>
      </c>
      <c r="F70" s="223">
        <v>1233.54</v>
      </c>
      <c r="G70" s="223">
        <v>3284</v>
      </c>
      <c r="H70" s="223">
        <v>4303899.21</v>
      </c>
      <c r="I70" s="223">
        <v>1310.57</v>
      </c>
      <c r="J70" s="224">
        <v>1075</v>
      </c>
      <c r="K70" s="225">
        <v>1319113.54</v>
      </c>
      <c r="L70" s="225">
        <v>1227.08</v>
      </c>
      <c r="M70" s="226">
        <v>1929</v>
      </c>
      <c r="N70" s="225">
        <v>2341498.7400000002</v>
      </c>
      <c r="O70" s="225">
        <v>1213.8399999999999</v>
      </c>
      <c r="P70" s="224">
        <v>2337</v>
      </c>
      <c r="Q70" s="225">
        <v>2860643.56</v>
      </c>
      <c r="R70" s="225">
        <v>1224.07</v>
      </c>
      <c r="S70" s="227"/>
      <c r="T70" s="228" t="s">
        <v>332</v>
      </c>
      <c r="U70" s="224">
        <v>664</v>
      </c>
      <c r="V70" s="225">
        <f>1201628.73</f>
        <v>1201628.73</v>
      </c>
      <c r="W70" s="229">
        <f t="shared" si="0"/>
        <v>1809.6818222891566</v>
      </c>
      <c r="X70" s="224">
        <v>1129</v>
      </c>
      <c r="Y70" s="225">
        <f>2107653.6</f>
        <v>2107653.6</v>
      </c>
      <c r="Z70" s="229">
        <f t="shared" si="1"/>
        <v>1866.8322409211692</v>
      </c>
    </row>
    <row r="71" spans="3:26">
      <c r="C71" s="222" t="s">
        <v>333</v>
      </c>
      <c r="D71" s="223">
        <v>7487</v>
      </c>
      <c r="E71" s="223">
        <v>12301390.779999999</v>
      </c>
      <c r="F71" s="223">
        <v>1643.03</v>
      </c>
      <c r="G71" s="223">
        <v>8684</v>
      </c>
      <c r="H71" s="223">
        <v>15034243.67</v>
      </c>
      <c r="I71" s="223">
        <v>1731.26</v>
      </c>
      <c r="J71" s="224">
        <v>6834</v>
      </c>
      <c r="K71" s="225">
        <v>11707424.68</v>
      </c>
      <c r="L71" s="225">
        <v>1713.11</v>
      </c>
      <c r="M71" s="231">
        <v>346</v>
      </c>
      <c r="N71" s="225">
        <v>575220.21</v>
      </c>
      <c r="O71" s="225">
        <v>1662.49</v>
      </c>
      <c r="P71" s="224">
        <v>1289</v>
      </c>
      <c r="Q71" s="225">
        <v>2133523.14</v>
      </c>
      <c r="R71" s="225">
        <v>1655.18</v>
      </c>
      <c r="S71" s="227"/>
      <c r="T71" s="228" t="s">
        <v>334</v>
      </c>
      <c r="U71" s="224">
        <v>323</v>
      </c>
      <c r="V71" s="225">
        <f>836235.73</f>
        <v>836235.73</v>
      </c>
      <c r="W71" s="229">
        <f t="shared" si="0"/>
        <v>2588.965108359133</v>
      </c>
      <c r="X71" s="224">
        <v>325</v>
      </c>
      <c r="Y71" s="225">
        <f>852756.06</f>
        <v>852756.06</v>
      </c>
      <c r="Z71" s="229">
        <f t="shared" si="1"/>
        <v>2623.8648000000003</v>
      </c>
    </row>
    <row r="72" spans="3:26">
      <c r="C72" s="222" t="s">
        <v>335</v>
      </c>
      <c r="D72" s="223">
        <v>6887</v>
      </c>
      <c r="E72" s="223">
        <v>15019807.810000001</v>
      </c>
      <c r="F72" s="223">
        <v>2180.89</v>
      </c>
      <c r="G72" s="223">
        <v>5840</v>
      </c>
      <c r="H72" s="223">
        <v>12541678.560000001</v>
      </c>
      <c r="I72" s="223">
        <v>2147.5</v>
      </c>
      <c r="J72" s="224">
        <v>7322</v>
      </c>
      <c r="K72" s="225">
        <v>15516385.24</v>
      </c>
      <c r="L72" s="225">
        <v>2119.15</v>
      </c>
      <c r="M72" s="231">
        <v>503</v>
      </c>
      <c r="N72" s="225">
        <v>1068357.04</v>
      </c>
      <c r="O72" s="225">
        <v>2123.9699999999998</v>
      </c>
      <c r="P72" s="224">
        <v>1651</v>
      </c>
      <c r="Q72" s="225">
        <v>3538739.49</v>
      </c>
      <c r="R72" s="225">
        <v>2143.19</v>
      </c>
      <c r="S72" s="227"/>
      <c r="T72" s="228" t="s">
        <v>336</v>
      </c>
      <c r="U72" s="224">
        <v>4745</v>
      </c>
      <c r="V72" s="225">
        <f>16386272.05</f>
        <v>16386272.050000001</v>
      </c>
      <c r="W72" s="229">
        <f t="shared" si="0"/>
        <v>3453.376617492097</v>
      </c>
      <c r="X72" s="224">
        <v>325</v>
      </c>
      <c r="Y72" s="225">
        <f>813315.01</f>
        <v>813315.01</v>
      </c>
      <c r="Z72" s="229">
        <f t="shared" si="1"/>
        <v>2502.507723076923</v>
      </c>
    </row>
    <row r="73" spans="3:26">
      <c r="C73" s="222" t="s">
        <v>337</v>
      </c>
      <c r="D73" s="223">
        <v>8712</v>
      </c>
      <c r="E73" s="223">
        <v>23001798.780000001</v>
      </c>
      <c r="F73" s="223">
        <v>2640.24</v>
      </c>
      <c r="G73" s="223">
        <v>6172</v>
      </c>
      <c r="H73" s="223">
        <v>16185810.189999999</v>
      </c>
      <c r="I73" s="223">
        <v>2622.46</v>
      </c>
      <c r="J73" s="224">
        <v>5768</v>
      </c>
      <c r="K73" s="225">
        <v>15251911.1</v>
      </c>
      <c r="L73" s="225">
        <v>2644.23</v>
      </c>
      <c r="M73" s="226">
        <v>3596</v>
      </c>
      <c r="N73" s="225">
        <v>9390667.8399999999</v>
      </c>
      <c r="O73" s="225">
        <v>2611.42</v>
      </c>
      <c r="P73" s="224">
        <v>2468</v>
      </c>
      <c r="Q73" s="225">
        <v>6431154.6699999999</v>
      </c>
      <c r="R73" s="225">
        <v>2605.8200000000002</v>
      </c>
      <c r="S73" s="227"/>
      <c r="T73" s="228" t="s">
        <v>338</v>
      </c>
      <c r="U73" s="224">
        <v>9996</v>
      </c>
      <c r="V73" s="225">
        <f>40485755.18</f>
        <v>40485755.18</v>
      </c>
      <c r="W73" s="229">
        <f t="shared" si="0"/>
        <v>4050.1955962384955</v>
      </c>
      <c r="X73" s="224">
        <v>242</v>
      </c>
      <c r="Y73" s="225">
        <f>1296685.34</f>
        <v>1296685.3400000001</v>
      </c>
      <c r="Z73" s="229">
        <f t="shared" si="1"/>
        <v>5358.2038842975207</v>
      </c>
    </row>
    <row r="74" spans="3:26">
      <c r="C74" s="222" t="s">
        <v>339</v>
      </c>
      <c r="D74" s="223">
        <v>5689</v>
      </c>
      <c r="E74" s="223">
        <v>17594498</v>
      </c>
      <c r="F74" s="223">
        <v>3092.72</v>
      </c>
      <c r="G74" s="223">
        <v>3915</v>
      </c>
      <c r="H74" s="223">
        <v>12182376.92</v>
      </c>
      <c r="I74" s="223">
        <v>3111.72</v>
      </c>
      <c r="J74" s="224">
        <v>4391</v>
      </c>
      <c r="K74" s="225">
        <v>13618818.57</v>
      </c>
      <c r="L74" s="225">
        <v>3101.53</v>
      </c>
      <c r="M74" s="226">
        <v>6188</v>
      </c>
      <c r="N74" s="225">
        <v>19538842.77</v>
      </c>
      <c r="O74" s="225">
        <v>3157.54</v>
      </c>
      <c r="P74" s="224">
        <v>3163</v>
      </c>
      <c r="Q74" s="225">
        <v>10246594.859999999</v>
      </c>
      <c r="R74" s="225">
        <v>3239.52</v>
      </c>
      <c r="S74" s="227"/>
      <c r="T74" s="228" t="s">
        <v>340</v>
      </c>
      <c r="U74" s="224">
        <v>7124</v>
      </c>
      <c r="V74" s="225">
        <f>34887596.65</f>
        <v>34887596.649999999</v>
      </c>
      <c r="W74" s="229">
        <f t="shared" si="0"/>
        <v>4897.192118192027</v>
      </c>
      <c r="X74" s="224">
        <v>8981</v>
      </c>
      <c r="Y74" s="225">
        <f>44254182.78</f>
        <v>44254182.780000001</v>
      </c>
      <c r="Z74" s="229">
        <f t="shared" si="1"/>
        <v>4927.5339917603833</v>
      </c>
    </row>
    <row r="75" spans="3:26">
      <c r="C75" s="222" t="s">
        <v>341</v>
      </c>
      <c r="D75" s="223">
        <v>3180</v>
      </c>
      <c r="E75" s="223">
        <v>11380224.25</v>
      </c>
      <c r="F75" s="223">
        <v>3578.69</v>
      </c>
      <c r="G75" s="223">
        <v>4831</v>
      </c>
      <c r="H75" s="223">
        <v>17422115.75</v>
      </c>
      <c r="I75" s="223">
        <v>3606.32</v>
      </c>
      <c r="J75" s="224">
        <v>4610</v>
      </c>
      <c r="K75" s="225">
        <v>16652200.42</v>
      </c>
      <c r="L75" s="225">
        <v>3612.19</v>
      </c>
      <c r="M75" s="226">
        <v>5233</v>
      </c>
      <c r="N75" s="225">
        <v>18973163.140000001</v>
      </c>
      <c r="O75" s="225">
        <v>3625.68</v>
      </c>
      <c r="P75" s="224">
        <v>2124</v>
      </c>
      <c r="Q75" s="225">
        <v>7684189.0599999996</v>
      </c>
      <c r="R75" s="225">
        <v>3617.79</v>
      </c>
      <c r="S75" s="227"/>
      <c r="T75" s="228" t="s">
        <v>342</v>
      </c>
      <c r="U75" s="224">
        <v>9116</v>
      </c>
      <c r="V75" s="225">
        <f>51168009.67</f>
        <v>51168009.670000002</v>
      </c>
      <c r="W75" s="229">
        <f t="shared" si="0"/>
        <v>5612.9892134708207</v>
      </c>
      <c r="X75" s="224">
        <v>8204</v>
      </c>
      <c r="Y75" s="225">
        <f>45780672.9</f>
        <v>45780672.899999999</v>
      </c>
      <c r="Z75" s="229">
        <f t="shared" si="1"/>
        <v>5580.2867991223793</v>
      </c>
    </row>
    <row r="76" spans="3:26">
      <c r="C76" s="222" t="s">
        <v>343</v>
      </c>
      <c r="D76" s="223">
        <v>1825</v>
      </c>
      <c r="E76" s="223">
        <v>7416934.3600000003</v>
      </c>
      <c r="F76" s="223">
        <v>4064.07</v>
      </c>
      <c r="G76" s="223">
        <v>4012</v>
      </c>
      <c r="H76" s="223">
        <v>16376649.970000001</v>
      </c>
      <c r="I76" s="223">
        <v>4081.92</v>
      </c>
      <c r="J76" s="224">
        <v>4090</v>
      </c>
      <c r="K76" s="225">
        <v>16690670.83</v>
      </c>
      <c r="L76" s="225">
        <v>4080.85</v>
      </c>
      <c r="M76" s="226">
        <v>5343</v>
      </c>
      <c r="N76" s="225">
        <v>21815389.34</v>
      </c>
      <c r="O76" s="225">
        <v>4082.99</v>
      </c>
      <c r="P76" s="224">
        <v>7819</v>
      </c>
      <c r="Q76" s="225">
        <v>32148678.649999999</v>
      </c>
      <c r="R76" s="225">
        <v>4111.6099999999997</v>
      </c>
      <c r="S76" s="227"/>
      <c r="T76" s="228" t="s">
        <v>344</v>
      </c>
      <c r="U76" s="224">
        <v>6199</v>
      </c>
      <c r="V76" s="225">
        <f>39435721.11</f>
        <v>39435721.109999999</v>
      </c>
      <c r="W76" s="229">
        <f t="shared" si="0"/>
        <v>6361.6262477819</v>
      </c>
      <c r="X76" s="224">
        <v>5385</v>
      </c>
      <c r="Y76" s="225">
        <f>34306144.49</f>
        <v>34306144.490000002</v>
      </c>
      <c r="Z76" s="229">
        <f t="shared" si="1"/>
        <v>6370.6860705663885</v>
      </c>
    </row>
    <row r="77" spans="3:26">
      <c r="C77" s="222" t="s">
        <v>345</v>
      </c>
      <c r="D77" s="223">
        <v>1196</v>
      </c>
      <c r="E77" s="223">
        <v>5437181.2699999996</v>
      </c>
      <c r="F77" s="223">
        <v>4546.1400000000003</v>
      </c>
      <c r="G77" s="223">
        <v>3144</v>
      </c>
      <c r="H77" s="223">
        <v>14378210.960000001</v>
      </c>
      <c r="I77" s="223">
        <v>4573.22</v>
      </c>
      <c r="J77" s="224">
        <v>3289</v>
      </c>
      <c r="K77" s="225">
        <v>15082631.619999999</v>
      </c>
      <c r="L77" s="225">
        <v>4585.78</v>
      </c>
      <c r="M77" s="226">
        <v>5036</v>
      </c>
      <c r="N77" s="225">
        <v>23048177.239999998</v>
      </c>
      <c r="O77" s="225">
        <v>4576.68</v>
      </c>
      <c r="P77" s="224">
        <v>4167</v>
      </c>
      <c r="Q77" s="225">
        <v>18972981.02</v>
      </c>
      <c r="R77" s="225">
        <v>4553.1499999999996</v>
      </c>
      <c r="S77" s="227"/>
      <c r="T77" s="228" t="s">
        <v>346</v>
      </c>
      <c r="U77" s="224">
        <v>3245</v>
      </c>
      <c r="V77" s="225">
        <f>23132886.35</f>
        <v>23132886.350000001</v>
      </c>
      <c r="W77" s="229">
        <f t="shared" si="0"/>
        <v>7128.7785362095537</v>
      </c>
      <c r="X77" s="224">
        <v>7646</v>
      </c>
      <c r="Y77" s="225">
        <f>54351214.7</f>
        <v>54351214.700000003</v>
      </c>
      <c r="Z77" s="229">
        <f t="shared" si="1"/>
        <v>7108.4507847240393</v>
      </c>
    </row>
    <row r="78" spans="3:26">
      <c r="C78" s="222" t="s">
        <v>347</v>
      </c>
      <c r="D78" s="223">
        <v>861</v>
      </c>
      <c r="E78" s="223">
        <v>4312290</v>
      </c>
      <c r="F78" s="223">
        <v>5008.47</v>
      </c>
      <c r="G78" s="223">
        <v>1562</v>
      </c>
      <c r="H78" s="223">
        <v>7819498.3499999996</v>
      </c>
      <c r="I78" s="223">
        <v>5006.08</v>
      </c>
      <c r="J78" s="224">
        <v>1588</v>
      </c>
      <c r="K78" s="225">
        <v>7950481.71</v>
      </c>
      <c r="L78" s="225">
        <v>5006.6000000000004</v>
      </c>
      <c r="M78" s="226">
        <v>3283</v>
      </c>
      <c r="N78" s="225">
        <v>16592469.84</v>
      </c>
      <c r="O78" s="225">
        <v>5054.0600000000004</v>
      </c>
      <c r="P78" s="224">
        <v>4348</v>
      </c>
      <c r="Q78" s="225">
        <v>21782603.260000002</v>
      </c>
      <c r="R78" s="225">
        <v>5009.8</v>
      </c>
      <c r="S78" s="227"/>
      <c r="T78" s="228" t="s">
        <v>348</v>
      </c>
      <c r="U78" s="224">
        <v>3186</v>
      </c>
      <c r="V78" s="225">
        <f>24887357.33</f>
        <v>24887357.329999998</v>
      </c>
      <c r="W78" s="229">
        <f t="shared" si="0"/>
        <v>7811.4743659761452</v>
      </c>
      <c r="X78" s="224">
        <v>4925</v>
      </c>
      <c r="Y78" s="225">
        <f>39238646.47</f>
        <v>39238646.469999999</v>
      </c>
      <c r="Z78" s="229">
        <f t="shared" si="1"/>
        <v>7967.2378619289339</v>
      </c>
    </row>
    <row r="79" spans="3:26">
      <c r="C79" s="222" t="s">
        <v>349</v>
      </c>
      <c r="D79" s="223">
        <v>587</v>
      </c>
      <c r="E79" s="223">
        <v>3241308.36</v>
      </c>
      <c r="F79" s="223">
        <v>5521.82</v>
      </c>
      <c r="G79" s="223">
        <v>1599</v>
      </c>
      <c r="H79" s="223">
        <v>8894970.5299999993</v>
      </c>
      <c r="I79" s="223">
        <v>5562.83</v>
      </c>
      <c r="J79" s="224">
        <v>1964</v>
      </c>
      <c r="K79" s="225">
        <v>10926632.439999999</v>
      </c>
      <c r="L79" s="225">
        <v>5563.46</v>
      </c>
      <c r="M79" s="226">
        <v>2815</v>
      </c>
      <c r="N79" s="225">
        <v>15552986.42</v>
      </c>
      <c r="O79" s="225">
        <v>5525.04</v>
      </c>
      <c r="P79" s="224">
        <v>4131</v>
      </c>
      <c r="Q79" s="225">
        <v>22599613.239999998</v>
      </c>
      <c r="R79" s="225">
        <v>5470.74</v>
      </c>
      <c r="S79" s="227"/>
      <c r="T79" s="228" t="s">
        <v>350</v>
      </c>
      <c r="U79" s="224">
        <v>1848</v>
      </c>
      <c r="V79" s="225">
        <f>15902415.38</f>
        <v>15902415.380000001</v>
      </c>
      <c r="W79" s="229">
        <f t="shared" si="0"/>
        <v>8605.2031277056285</v>
      </c>
      <c r="X79" s="224">
        <v>2653</v>
      </c>
      <c r="Y79" s="225">
        <f>22788775.24</f>
        <v>22788775.239999998</v>
      </c>
      <c r="Z79" s="229">
        <f t="shared" si="1"/>
        <v>8589.8135092348275</v>
      </c>
    </row>
    <row r="80" spans="3:26">
      <c r="C80" s="222" t="s">
        <v>351</v>
      </c>
      <c r="D80" s="223">
        <v>324</v>
      </c>
      <c r="E80" s="223">
        <v>1943632.32</v>
      </c>
      <c r="F80" s="223">
        <v>5998.87</v>
      </c>
      <c r="G80" s="223">
        <v>1227</v>
      </c>
      <c r="H80" s="223">
        <v>7333175.5899999999</v>
      </c>
      <c r="I80" s="223">
        <v>5976.51</v>
      </c>
      <c r="J80" s="224">
        <v>1652</v>
      </c>
      <c r="K80" s="225">
        <v>9867992.3000000007</v>
      </c>
      <c r="L80" s="225">
        <v>5973.36</v>
      </c>
      <c r="M80" s="226">
        <v>2303</v>
      </c>
      <c r="N80" s="225">
        <v>13785968.529999999</v>
      </c>
      <c r="O80" s="225">
        <v>5986.09</v>
      </c>
      <c r="P80" s="224">
        <v>2792</v>
      </c>
      <c r="Q80" s="225">
        <v>16757623.43</v>
      </c>
      <c r="R80" s="225">
        <v>6002.01</v>
      </c>
      <c r="S80" s="227"/>
      <c r="T80" s="228" t="s">
        <v>352</v>
      </c>
      <c r="U80" s="224">
        <v>1246</v>
      </c>
      <c r="V80" s="225">
        <f>11633379.93</f>
        <v>11633379.93</v>
      </c>
      <c r="W80" s="229">
        <f t="shared" si="0"/>
        <v>9336.5810032102727</v>
      </c>
      <c r="X80" s="224">
        <v>2082</v>
      </c>
      <c r="Y80" s="225">
        <f>19468441.26</f>
        <v>19468441.260000002</v>
      </c>
      <c r="Z80" s="229">
        <f t="shared" si="1"/>
        <v>9350.8363400576382</v>
      </c>
    </row>
    <row r="81" spans="3:26">
      <c r="C81" s="222" t="s">
        <v>353</v>
      </c>
      <c r="D81" s="223">
        <v>214</v>
      </c>
      <c r="E81" s="223">
        <v>1387868.14</v>
      </c>
      <c r="F81" s="223">
        <v>6485.37</v>
      </c>
      <c r="G81" s="223">
        <v>694</v>
      </c>
      <c r="H81" s="223">
        <v>4493520.01</v>
      </c>
      <c r="I81" s="223">
        <v>6474.81</v>
      </c>
      <c r="J81" s="223">
        <v>709</v>
      </c>
      <c r="K81" s="225">
        <v>4587937</v>
      </c>
      <c r="L81" s="225">
        <v>6471</v>
      </c>
      <c r="M81" s="226">
        <v>1423</v>
      </c>
      <c r="N81" s="225">
        <v>9200346.4299999997</v>
      </c>
      <c r="O81" s="225">
        <v>6465.46</v>
      </c>
      <c r="P81" s="224">
        <v>3561</v>
      </c>
      <c r="Q81" s="225">
        <v>22984104.190000001</v>
      </c>
      <c r="R81" s="225">
        <v>6454.4</v>
      </c>
      <c r="S81" s="227"/>
      <c r="T81" s="228" t="s">
        <v>354</v>
      </c>
      <c r="U81" s="224">
        <v>864</v>
      </c>
      <c r="V81" s="225">
        <f>8715515.56</f>
        <v>8715515.5600000005</v>
      </c>
      <c r="W81" s="229">
        <f t="shared" si="0"/>
        <v>10087.402268518519</v>
      </c>
      <c r="X81" s="224">
        <v>2526</v>
      </c>
      <c r="Y81" s="225">
        <f>25499054.66</f>
        <v>25499054.66</v>
      </c>
      <c r="Z81" s="229">
        <f t="shared" si="1"/>
        <v>10094.637632620745</v>
      </c>
    </row>
    <row r="82" spans="3:26">
      <c r="C82" s="222" t="s">
        <v>355</v>
      </c>
      <c r="D82" s="223">
        <v>158</v>
      </c>
      <c r="E82" s="223">
        <v>1099397.42</v>
      </c>
      <c r="F82" s="223">
        <v>6958.21</v>
      </c>
      <c r="G82" s="223">
        <v>475</v>
      </c>
      <c r="H82" s="223">
        <v>3296772.36</v>
      </c>
      <c r="I82" s="223">
        <v>6940.57</v>
      </c>
      <c r="J82" s="223">
        <v>578</v>
      </c>
      <c r="K82" s="225">
        <v>4008927.72</v>
      </c>
      <c r="L82" s="225">
        <v>6935.86</v>
      </c>
      <c r="M82" s="226">
        <v>1145</v>
      </c>
      <c r="N82" s="225">
        <v>7959335.0999999996</v>
      </c>
      <c r="O82" s="225">
        <v>6951.38</v>
      </c>
      <c r="P82" s="224">
        <v>2378</v>
      </c>
      <c r="Q82" s="225">
        <v>16483739.800000001</v>
      </c>
      <c r="R82" s="225">
        <v>6931.77</v>
      </c>
      <c r="S82" s="227"/>
      <c r="T82" s="228" t="s">
        <v>356</v>
      </c>
      <c r="U82" s="224">
        <v>664</v>
      </c>
      <c r="V82" s="225">
        <f>7199161.15</f>
        <v>7199161.1500000004</v>
      </c>
      <c r="W82" s="229">
        <f t="shared" si="0"/>
        <v>10842.110165662651</v>
      </c>
      <c r="X82" s="224">
        <v>1509</v>
      </c>
      <c r="Y82" s="225">
        <f>16393195.61</f>
        <v>16393195.609999999</v>
      </c>
      <c r="Z82" s="229">
        <f t="shared" si="1"/>
        <v>10863.615381047051</v>
      </c>
    </row>
    <row r="83" spans="3:26">
      <c r="C83" s="222" t="s">
        <v>357</v>
      </c>
      <c r="D83" s="223">
        <v>1100</v>
      </c>
      <c r="E83" s="223">
        <v>14543223.449999999</v>
      </c>
      <c r="F83" s="223">
        <v>13221.11</v>
      </c>
      <c r="G83" s="223">
        <v>1907</v>
      </c>
      <c r="H83" s="223">
        <v>20786970.600000001</v>
      </c>
      <c r="I83" s="223">
        <v>10900.35</v>
      </c>
      <c r="J83" s="224">
        <v>2007</v>
      </c>
      <c r="K83" s="225">
        <v>21604970.68</v>
      </c>
      <c r="L83" s="225">
        <v>10764.81</v>
      </c>
      <c r="M83" s="226">
        <v>9197</v>
      </c>
      <c r="N83" s="225">
        <v>124010127.76000001</v>
      </c>
      <c r="O83" s="225">
        <v>13483.76</v>
      </c>
      <c r="P83" s="224">
        <v>13719</v>
      </c>
      <c r="Q83" s="225">
        <v>179954892.47999999</v>
      </c>
      <c r="R83" s="225">
        <v>13117.2</v>
      </c>
      <c r="S83" s="227"/>
      <c r="T83" s="228" t="s">
        <v>358</v>
      </c>
      <c r="U83" s="224">
        <v>881</v>
      </c>
      <c r="V83" s="225">
        <f>10414140.52</f>
        <v>10414140.52</v>
      </c>
      <c r="W83" s="229">
        <f t="shared" si="0"/>
        <v>11820.817843359819</v>
      </c>
      <c r="X83" s="224">
        <v>1507</v>
      </c>
      <c r="Y83" s="225">
        <f>17814359.39</f>
        <v>17814359.390000001</v>
      </c>
      <c r="Z83" s="229">
        <f t="shared" si="1"/>
        <v>11821.074578633046</v>
      </c>
    </row>
    <row r="84" spans="3:26">
      <c r="C84" s="232" t="s">
        <v>306</v>
      </c>
      <c r="D84" s="233">
        <f>SUM(D68:D83)</f>
        <v>50647</v>
      </c>
      <c r="E84" s="233">
        <f>SUM(E68:E83)</f>
        <v>131715113.85999998</v>
      </c>
      <c r="F84" s="233">
        <v>2600.65</v>
      </c>
      <c r="G84" s="233">
        <f>SUM(G68:G83)</f>
        <v>50820</v>
      </c>
      <c r="H84" s="234">
        <f>SUM(H68:H83)</f>
        <v>163079468.5</v>
      </c>
      <c r="I84" s="233">
        <v>3208.96</v>
      </c>
      <c r="J84" s="235">
        <v>49667</v>
      </c>
      <c r="K84" s="236">
        <v>167246535.77000001</v>
      </c>
      <c r="L84" s="236">
        <v>3367.36</v>
      </c>
      <c r="M84" s="237">
        <v>51662</v>
      </c>
      <c r="N84" s="236">
        <v>285827867.79000002</v>
      </c>
      <c r="O84" s="236">
        <v>5532.65</v>
      </c>
      <c r="P84" s="235">
        <v>58239</v>
      </c>
      <c r="Q84" s="235">
        <v>365862704</v>
      </c>
      <c r="R84" s="236">
        <v>6282.09</v>
      </c>
      <c r="S84" s="238"/>
      <c r="T84" s="239" t="s">
        <v>359</v>
      </c>
      <c r="U84" s="224">
        <v>4695</v>
      </c>
      <c r="V84" s="225">
        <f>91099171.11</f>
        <v>91099171.109999999</v>
      </c>
      <c r="W84" s="229">
        <f t="shared" si="0"/>
        <v>19403.444325878594</v>
      </c>
      <c r="X84" s="224">
        <v>9585</v>
      </c>
      <c r="Y84" s="225">
        <f>235744341.76</f>
        <v>235744341.75999999</v>
      </c>
      <c r="Z84" s="229">
        <f t="shared" si="1"/>
        <v>24595.132160667708</v>
      </c>
    </row>
    <row r="85" spans="3:26">
      <c r="C85" s="240" t="s">
        <v>360</v>
      </c>
      <c r="D85" s="240"/>
      <c r="E85" s="240"/>
      <c r="F85" s="240"/>
      <c r="G85" s="240"/>
      <c r="H85" s="240"/>
      <c r="I85" s="240"/>
      <c r="J85" s="240"/>
      <c r="K85" s="240"/>
      <c r="L85" s="240"/>
      <c r="M85" s="240"/>
      <c r="N85" s="240"/>
      <c r="O85" s="240"/>
      <c r="T85" s="241" t="s">
        <v>306</v>
      </c>
      <c r="U85" s="235">
        <f>SUM(U68:U84)</f>
        <v>58193</v>
      </c>
      <c r="V85" s="235">
        <f>SUM(V68:V84)</f>
        <v>380946101.50999999</v>
      </c>
      <c r="W85" s="242">
        <f t="shared" si="0"/>
        <v>6546.253011702438</v>
      </c>
      <c r="X85" s="235">
        <f>SUM(X68:X84)</f>
        <v>59813</v>
      </c>
      <c r="Y85" s="235">
        <f>SUM(Y68:Y84)</f>
        <v>563292490.10000002</v>
      </c>
      <c r="Z85" s="242">
        <f t="shared" si="1"/>
        <v>9417.5595623025092</v>
      </c>
    </row>
    <row r="86" spans="3:26">
      <c r="C86" s="528" t="s">
        <v>361</v>
      </c>
      <c r="D86" s="528"/>
      <c r="E86" s="528"/>
      <c r="F86" s="528"/>
      <c r="G86" s="244"/>
      <c r="H86" s="244"/>
      <c r="I86" s="244"/>
      <c r="J86" s="244"/>
      <c r="K86" s="244"/>
      <c r="L86" s="244"/>
      <c r="M86" s="244"/>
      <c r="N86" s="244"/>
      <c r="O86" s="244"/>
      <c r="T86" s="245" t="s">
        <v>361</v>
      </c>
      <c r="U86" s="245"/>
      <c r="V86" s="245"/>
      <c r="W86" s="245"/>
    </row>
    <row r="87" spans="3:26">
      <c r="C87" s="243"/>
      <c r="D87" s="243"/>
      <c r="E87" s="243"/>
      <c r="F87" s="243"/>
      <c r="G87" s="244"/>
      <c r="H87" s="244"/>
      <c r="I87" s="244"/>
      <c r="J87" s="244"/>
      <c r="K87" s="244"/>
      <c r="L87" s="244"/>
      <c r="M87" s="244"/>
      <c r="N87" s="244"/>
      <c r="O87" s="244"/>
      <c r="T87" s="216" t="s">
        <v>360</v>
      </c>
    </row>
    <row r="88" spans="3:26">
      <c r="C88" s="243"/>
      <c r="D88" s="243"/>
      <c r="E88" s="243"/>
      <c r="F88" s="243"/>
      <c r="G88" s="244"/>
      <c r="H88" s="244"/>
      <c r="I88" s="244"/>
      <c r="J88" s="244"/>
      <c r="K88" s="244"/>
      <c r="L88" s="244"/>
      <c r="M88" s="244"/>
      <c r="N88" s="244"/>
      <c r="O88" s="244"/>
      <c r="T88" s="70" t="s">
        <v>362</v>
      </c>
      <c r="U88" s="195" t="s">
        <v>363</v>
      </c>
    </row>
    <row r="89" spans="3:26">
      <c r="C89" s="243"/>
      <c r="D89" s="243"/>
      <c r="E89" s="243"/>
      <c r="F89" s="243"/>
      <c r="G89" s="244"/>
      <c r="H89" s="244"/>
      <c r="I89" s="244"/>
      <c r="J89" s="244"/>
      <c r="K89" s="244"/>
      <c r="L89" s="244"/>
      <c r="M89" s="244"/>
      <c r="N89" s="244"/>
      <c r="O89" s="244"/>
      <c r="T89" s="70" t="s">
        <v>364</v>
      </c>
    </row>
    <row r="90" spans="3:26">
      <c r="C90" s="243"/>
      <c r="D90" s="243"/>
      <c r="E90" s="243"/>
      <c r="F90" s="243"/>
      <c r="G90" s="244"/>
      <c r="H90" s="244"/>
      <c r="I90" s="244"/>
      <c r="J90" s="244"/>
      <c r="K90" s="244"/>
      <c r="L90" s="244"/>
      <c r="M90" s="244"/>
      <c r="N90" s="244"/>
      <c r="O90" s="244"/>
    </row>
    <row r="91" spans="3:26" ht="15" customHeight="1">
      <c r="C91" s="244"/>
      <c r="D91" s="244"/>
      <c r="E91" s="244"/>
      <c r="F91" s="244"/>
      <c r="G91" s="244"/>
      <c r="H91" s="244"/>
      <c r="I91" s="244"/>
      <c r="J91" s="244"/>
      <c r="K91" s="244"/>
      <c r="L91" s="244"/>
      <c r="M91" s="244"/>
      <c r="N91" s="244"/>
      <c r="O91" s="244"/>
    </row>
    <row r="92" spans="3:26">
      <c r="C92" s="244" t="s">
        <v>365</v>
      </c>
      <c r="D92" s="512">
        <v>7.03</v>
      </c>
      <c r="E92" s="512"/>
      <c r="F92" s="512"/>
      <c r="G92" s="512">
        <v>7.58</v>
      </c>
      <c r="H92" s="512"/>
      <c r="I92" s="512"/>
      <c r="J92" s="512">
        <v>7.53</v>
      </c>
      <c r="K92" s="512"/>
      <c r="L92" s="512"/>
      <c r="M92" s="512">
        <v>7.52</v>
      </c>
      <c r="N92" s="512"/>
      <c r="O92" s="512"/>
      <c r="P92" s="512">
        <v>7.52</v>
      </c>
      <c r="Q92" s="512"/>
      <c r="R92" s="512"/>
      <c r="T92" s="244" t="s">
        <v>365</v>
      </c>
      <c r="U92" s="505">
        <v>19.100000000000001</v>
      </c>
      <c r="V92" s="506"/>
      <c r="W92" s="507"/>
      <c r="X92" s="505">
        <v>24.44</v>
      </c>
      <c r="Y92" s="506"/>
      <c r="Z92" s="507"/>
    </row>
    <row r="93" spans="3:26" ht="15" customHeight="1">
      <c r="C93" s="524" t="s">
        <v>315</v>
      </c>
      <c r="D93" s="510" t="s">
        <v>316</v>
      </c>
      <c r="E93" s="511"/>
      <c r="F93" s="511"/>
      <c r="G93" s="510" t="s">
        <v>317</v>
      </c>
      <c r="H93" s="511"/>
      <c r="I93" s="511"/>
      <c r="J93" s="510" t="s">
        <v>318</v>
      </c>
      <c r="K93" s="511"/>
      <c r="L93" s="511"/>
      <c r="M93" s="510" t="s">
        <v>319</v>
      </c>
      <c r="N93" s="511"/>
      <c r="O93" s="511"/>
      <c r="P93" s="510" t="s">
        <v>320</v>
      </c>
      <c r="Q93" s="511"/>
      <c r="R93" s="511"/>
      <c r="T93" s="508" t="s">
        <v>315</v>
      </c>
      <c r="U93" s="500" t="s">
        <v>322</v>
      </c>
      <c r="V93" s="501"/>
      <c r="W93" s="502"/>
      <c r="X93" s="500" t="s">
        <v>323</v>
      </c>
      <c r="Y93" s="501"/>
      <c r="Z93" s="502"/>
    </row>
    <row r="94" spans="3:26" ht="43.5">
      <c r="C94" s="524"/>
      <c r="D94" s="218" t="s">
        <v>324</v>
      </c>
      <c r="E94" s="218" t="s">
        <v>366</v>
      </c>
      <c r="F94" s="218" t="s">
        <v>220</v>
      </c>
      <c r="G94" s="218" t="s">
        <v>324</v>
      </c>
      <c r="H94" s="218" t="s">
        <v>366</v>
      </c>
      <c r="I94" s="247" t="s">
        <v>326</v>
      </c>
      <c r="J94" s="218" t="s">
        <v>324</v>
      </c>
      <c r="K94" s="218" t="s">
        <v>366</v>
      </c>
      <c r="L94" s="218" t="s">
        <v>326</v>
      </c>
      <c r="M94" s="248" t="s">
        <v>324</v>
      </c>
      <c r="N94" s="218" t="s">
        <v>366</v>
      </c>
      <c r="O94" s="218" t="s">
        <v>326</v>
      </c>
      <c r="P94" s="218" t="s">
        <v>324</v>
      </c>
      <c r="Q94" s="218" t="s">
        <v>366</v>
      </c>
      <c r="R94" s="218" t="s">
        <v>326</v>
      </c>
      <c r="T94" s="509"/>
      <c r="U94" s="218" t="s">
        <v>324</v>
      </c>
      <c r="V94" s="218" t="s">
        <v>366</v>
      </c>
      <c r="W94" s="218" t="s">
        <v>326</v>
      </c>
      <c r="X94" s="218" t="s">
        <v>324</v>
      </c>
      <c r="Y94" s="218" t="s">
        <v>366</v>
      </c>
      <c r="Z94" s="218" t="s">
        <v>326</v>
      </c>
    </row>
    <row r="95" spans="3:26">
      <c r="C95" s="222" t="s">
        <v>327</v>
      </c>
      <c r="D95" s="224">
        <v>1602</v>
      </c>
      <c r="E95" s="224">
        <v>82359.596017069693</v>
      </c>
      <c r="F95" s="224">
        <v>51.411095305832148</v>
      </c>
      <c r="G95" s="224">
        <v>1628</v>
      </c>
      <c r="H95" s="224">
        <v>78204.496042216357</v>
      </c>
      <c r="I95" s="249">
        <v>48.03693931398417</v>
      </c>
      <c r="J95" s="224">
        <v>1532</v>
      </c>
      <c r="K95" s="224">
        <v>91207.363877822034</v>
      </c>
      <c r="L95" s="224">
        <v>59.535192563081011</v>
      </c>
      <c r="M95" s="226">
        <v>1479</v>
      </c>
      <c r="N95" s="224">
        <v>88877.438829787236</v>
      </c>
      <c r="O95" s="224">
        <v>60.093085106382979</v>
      </c>
      <c r="P95" s="224">
        <v>1449</v>
      </c>
      <c r="Q95" s="224">
        <v>88171.767287234034</v>
      </c>
      <c r="R95" s="224">
        <v>60.849734042553195</v>
      </c>
      <c r="T95" s="228" t="s">
        <v>328</v>
      </c>
      <c r="U95" s="224">
        <v>259</v>
      </c>
      <c r="V95" s="225">
        <f>150819.72/U92</f>
        <v>7896.3204188481668</v>
      </c>
      <c r="W95" s="229">
        <f>(V95/U95)</f>
        <v>30.487723624896397</v>
      </c>
      <c r="X95" s="224">
        <v>277</v>
      </c>
      <c r="Y95" s="229">
        <f>156424.58/X92</f>
        <v>6400.3510638297867</v>
      </c>
      <c r="Z95" s="229">
        <f>(Y95/X95)</f>
        <v>23.105960519241108</v>
      </c>
    </row>
    <row r="96" spans="3:26">
      <c r="C96" s="222" t="s">
        <v>329</v>
      </c>
      <c r="D96" s="224">
        <v>2190</v>
      </c>
      <c r="E96" s="224">
        <v>256751.33428165005</v>
      </c>
      <c r="F96" s="224">
        <v>117.23755334281648</v>
      </c>
      <c r="G96" s="224">
        <v>1846</v>
      </c>
      <c r="H96" s="224">
        <v>189549.57124010555</v>
      </c>
      <c r="I96" s="249">
        <v>102.68073878627969</v>
      </c>
      <c r="J96" s="224">
        <v>2258</v>
      </c>
      <c r="K96" s="224">
        <v>235543.95750332004</v>
      </c>
      <c r="L96" s="224">
        <v>104.31474103585657</v>
      </c>
      <c r="M96" s="226">
        <v>1843</v>
      </c>
      <c r="N96" s="224">
        <v>173797.74601063831</v>
      </c>
      <c r="O96" s="224">
        <v>94.301861702127667</v>
      </c>
      <c r="P96" s="224">
        <v>843</v>
      </c>
      <c r="Q96" s="224">
        <v>82522.819148936178</v>
      </c>
      <c r="R96" s="224">
        <v>97.892287234042556</v>
      </c>
      <c r="T96" s="228" t="s">
        <v>330</v>
      </c>
      <c r="U96" s="224">
        <v>3138</v>
      </c>
      <c r="V96" s="225">
        <f>3410035.34/U92</f>
        <v>178535.88167539265</v>
      </c>
      <c r="W96" s="229">
        <f t="shared" ref="W96:W112" si="2">(V96/U96)</f>
        <v>56.894799769086248</v>
      </c>
      <c r="X96" s="223">
        <v>2512</v>
      </c>
      <c r="Y96" s="225">
        <f>2426626.25/X92</f>
        <v>99289.126432078556</v>
      </c>
      <c r="Z96" s="229">
        <f t="shared" ref="Z96:Z112" si="3">(Y96/X96)</f>
        <v>39.525926127419808</v>
      </c>
    </row>
    <row r="97" spans="3:26">
      <c r="C97" s="222" t="s">
        <v>331</v>
      </c>
      <c r="D97" s="224">
        <v>8635</v>
      </c>
      <c r="E97" s="224">
        <v>1515164.8762446656</v>
      </c>
      <c r="F97" s="224">
        <v>175.46799431009956</v>
      </c>
      <c r="G97" s="224">
        <v>3284</v>
      </c>
      <c r="H97" s="224">
        <v>567796.72955145116</v>
      </c>
      <c r="I97" s="249">
        <v>172.89841688654352</v>
      </c>
      <c r="J97" s="224">
        <v>1075</v>
      </c>
      <c r="K97" s="224">
        <v>175181.08100929615</v>
      </c>
      <c r="L97" s="224">
        <v>162.95883134130145</v>
      </c>
      <c r="M97" s="226">
        <v>1929</v>
      </c>
      <c r="N97" s="224">
        <v>311369.51329787239</v>
      </c>
      <c r="O97" s="224">
        <v>161.41489361702128</v>
      </c>
      <c r="P97" s="224">
        <v>2337</v>
      </c>
      <c r="Q97" s="224">
        <v>380404.72872340429</v>
      </c>
      <c r="R97" s="224">
        <v>162.77526595744681</v>
      </c>
      <c r="T97" s="228" t="s">
        <v>332</v>
      </c>
      <c r="U97" s="224">
        <v>664</v>
      </c>
      <c r="V97" s="225">
        <f>1201628.73/U92</f>
        <v>62912.498952879578</v>
      </c>
      <c r="W97" s="229">
        <f t="shared" si="2"/>
        <v>94.74773938686684</v>
      </c>
      <c r="X97" s="224">
        <v>1129</v>
      </c>
      <c r="Y97" s="225">
        <f>2107653.6/X92</f>
        <v>86237.872340425529</v>
      </c>
      <c r="Z97" s="229">
        <f t="shared" si="3"/>
        <v>76.384297910031464</v>
      </c>
    </row>
    <row r="98" spans="3:26">
      <c r="C98" s="222" t="s">
        <v>333</v>
      </c>
      <c r="D98" s="224">
        <v>7487</v>
      </c>
      <c r="E98" s="224">
        <v>1749842.2162162161</v>
      </c>
      <c r="F98" s="224">
        <v>233.71692745376956</v>
      </c>
      <c r="G98" s="224">
        <v>8684</v>
      </c>
      <c r="H98" s="224">
        <v>1983409.4551451188</v>
      </c>
      <c r="I98" s="249">
        <v>228.39841688654354</v>
      </c>
      <c r="J98" s="224">
        <v>6834</v>
      </c>
      <c r="K98" s="224">
        <v>1554770.8738379814</v>
      </c>
      <c r="L98" s="224">
        <v>227.50464807436916</v>
      </c>
      <c r="M98" s="226">
        <v>346</v>
      </c>
      <c r="N98" s="224">
        <v>76492.049202127659</v>
      </c>
      <c r="O98" s="224">
        <v>221.07579787234044</v>
      </c>
      <c r="P98" s="224">
        <v>1289</v>
      </c>
      <c r="Q98" s="224">
        <v>283713.18351063831</v>
      </c>
      <c r="R98" s="224">
        <v>220.10372340425533</v>
      </c>
      <c r="T98" s="228" t="s">
        <v>334</v>
      </c>
      <c r="U98" s="224">
        <v>323</v>
      </c>
      <c r="V98" s="225">
        <f>836235.73/U92</f>
        <v>43781.975392670152</v>
      </c>
      <c r="W98" s="229">
        <f t="shared" si="2"/>
        <v>135.54791143241533</v>
      </c>
      <c r="X98" s="224">
        <v>325</v>
      </c>
      <c r="Y98" s="225">
        <f>852756.06/X92</f>
        <v>34891.819148936171</v>
      </c>
      <c r="Z98" s="229">
        <f t="shared" si="3"/>
        <v>107.35944353518822</v>
      </c>
    </row>
    <row r="99" spans="3:26">
      <c r="C99" s="222" t="s">
        <v>335</v>
      </c>
      <c r="D99" s="224">
        <v>6887</v>
      </c>
      <c r="E99" s="224">
        <v>2136530.2716927454</v>
      </c>
      <c r="F99" s="224">
        <v>310.22617354196296</v>
      </c>
      <c r="G99" s="224">
        <v>5840</v>
      </c>
      <c r="H99" s="224">
        <v>1654575.0079155674</v>
      </c>
      <c r="I99" s="249">
        <v>283.31134564643799</v>
      </c>
      <c r="J99" s="224">
        <v>7322</v>
      </c>
      <c r="K99" s="224">
        <v>2060608.9296148738</v>
      </c>
      <c r="L99" s="224">
        <v>281.4276228419655</v>
      </c>
      <c r="M99" s="226">
        <v>503</v>
      </c>
      <c r="N99" s="224">
        <v>142068.75531914894</v>
      </c>
      <c r="O99" s="224">
        <v>282.44281914893617</v>
      </c>
      <c r="P99" s="224">
        <v>1651</v>
      </c>
      <c r="Q99" s="224">
        <v>470577.05984042562</v>
      </c>
      <c r="R99" s="224">
        <v>284.998670212766</v>
      </c>
      <c r="T99" s="228" t="s">
        <v>336</v>
      </c>
      <c r="U99" s="224">
        <v>4745</v>
      </c>
      <c r="V99" s="225">
        <f>16386272.05/U92</f>
        <v>857920.00261780107</v>
      </c>
      <c r="W99" s="229">
        <f t="shared" si="2"/>
        <v>180.80505850743964</v>
      </c>
      <c r="X99" s="224">
        <v>325</v>
      </c>
      <c r="Y99" s="225">
        <f>813315.01/X92</f>
        <v>33278.028232405894</v>
      </c>
      <c r="Z99" s="229">
        <f t="shared" si="3"/>
        <v>102.39393302278737</v>
      </c>
    </row>
    <row r="100" spans="3:26">
      <c r="C100" s="222" t="s">
        <v>337</v>
      </c>
      <c r="D100" s="224">
        <v>8712</v>
      </c>
      <c r="E100" s="224">
        <v>3271948.6173541965</v>
      </c>
      <c r="F100" s="224">
        <v>375.56756756756755</v>
      </c>
      <c r="G100" s="224">
        <v>6172</v>
      </c>
      <c r="H100" s="224">
        <v>2135331.1596306069</v>
      </c>
      <c r="I100" s="249">
        <v>345.97097625329815</v>
      </c>
      <c r="J100" s="224">
        <v>5768</v>
      </c>
      <c r="K100" s="224">
        <v>2025486.2018592297</v>
      </c>
      <c r="L100" s="224">
        <v>351.15936254980079</v>
      </c>
      <c r="M100" s="226">
        <v>3596</v>
      </c>
      <c r="N100" s="224">
        <v>1248759.0212765958</v>
      </c>
      <c r="O100" s="224">
        <v>347.26329787234044</v>
      </c>
      <c r="P100" s="224">
        <v>2468</v>
      </c>
      <c r="Q100" s="224">
        <v>855206.73803191492</v>
      </c>
      <c r="R100" s="224">
        <v>346.51861702127661</v>
      </c>
      <c r="T100" s="228" t="s">
        <v>338</v>
      </c>
      <c r="U100" s="224">
        <v>9996</v>
      </c>
      <c r="V100" s="225">
        <f>40485755.18/U92</f>
        <v>2119673.0460732984</v>
      </c>
      <c r="W100" s="229">
        <f t="shared" si="2"/>
        <v>212.05212545751286</v>
      </c>
      <c r="X100" s="224">
        <v>242</v>
      </c>
      <c r="Y100" s="225">
        <f>1296685.34/X92</f>
        <v>53055.86497545008</v>
      </c>
      <c r="Z100" s="229">
        <f t="shared" si="3"/>
        <v>219.23911146880198</v>
      </c>
    </row>
    <row r="101" spans="3:26">
      <c r="C101" s="222" t="s">
        <v>339</v>
      </c>
      <c r="D101" s="224">
        <v>5689</v>
      </c>
      <c r="E101" s="224">
        <v>2502773.5419630157</v>
      </c>
      <c r="F101" s="224">
        <v>439.93172119487906</v>
      </c>
      <c r="G101" s="224">
        <v>3915</v>
      </c>
      <c r="H101" s="224">
        <v>1607173.7361477572</v>
      </c>
      <c r="I101" s="249">
        <v>410.51715039577834</v>
      </c>
      <c r="J101" s="224">
        <v>4391</v>
      </c>
      <c r="K101" s="224">
        <v>1808608.0438247011</v>
      </c>
      <c r="L101" s="224">
        <v>411.88977423638778</v>
      </c>
      <c r="M101" s="226">
        <v>6188</v>
      </c>
      <c r="N101" s="224">
        <v>2598250.3683510637</v>
      </c>
      <c r="O101" s="224">
        <v>419.88563829787233</v>
      </c>
      <c r="P101" s="224">
        <v>3163</v>
      </c>
      <c r="Q101" s="224">
        <v>1362579.1037234042</v>
      </c>
      <c r="R101" s="224">
        <v>430.78723404255322</v>
      </c>
      <c r="T101" s="228" t="s">
        <v>340</v>
      </c>
      <c r="U101" s="224">
        <v>7124</v>
      </c>
      <c r="V101" s="225">
        <f>34887596.65/U92</f>
        <v>1826575.740837696</v>
      </c>
      <c r="W101" s="229">
        <f t="shared" si="2"/>
        <v>256.39749309905898</v>
      </c>
      <c r="X101" s="224">
        <v>8981</v>
      </c>
      <c r="Y101" s="225">
        <f>44254182.78/X92</f>
        <v>1810727.6096563011</v>
      </c>
      <c r="Z101" s="229">
        <f t="shared" si="3"/>
        <v>201.6175937708831</v>
      </c>
    </row>
    <row r="102" spans="3:26">
      <c r="C102" s="222" t="s">
        <v>341</v>
      </c>
      <c r="D102" s="224">
        <v>3180</v>
      </c>
      <c r="E102" s="224">
        <v>1618808.5704125178</v>
      </c>
      <c r="F102" s="224">
        <v>509.05974395448078</v>
      </c>
      <c r="G102" s="224">
        <v>4831</v>
      </c>
      <c r="H102" s="224">
        <v>2298432.1569920843</v>
      </c>
      <c r="I102" s="249">
        <v>475.76781002638523</v>
      </c>
      <c r="J102" s="224">
        <v>4610</v>
      </c>
      <c r="K102" s="224">
        <v>2211447.5989375827</v>
      </c>
      <c r="L102" s="224">
        <v>479.70650730411688</v>
      </c>
      <c r="M102" s="226">
        <v>5233</v>
      </c>
      <c r="N102" s="224">
        <v>2523027.0132978726</v>
      </c>
      <c r="O102" s="224">
        <v>482.13829787234044</v>
      </c>
      <c r="P102" s="224">
        <v>2124</v>
      </c>
      <c r="Q102" s="224">
        <v>1021833.6515957447</v>
      </c>
      <c r="R102" s="224">
        <v>481.08909574468089</v>
      </c>
      <c r="T102" s="228" t="s">
        <v>342</v>
      </c>
      <c r="U102" s="224">
        <v>9116</v>
      </c>
      <c r="V102" s="225">
        <f>51168009.67/U92</f>
        <v>2678953.3858638741</v>
      </c>
      <c r="W102" s="229">
        <f t="shared" si="2"/>
        <v>293.87378080999059</v>
      </c>
      <c r="X102" s="224">
        <v>8204</v>
      </c>
      <c r="Y102" s="225">
        <f>45780672.9/X92</f>
        <v>1873186.2888707037</v>
      </c>
      <c r="Z102" s="229">
        <f t="shared" si="3"/>
        <v>228.32597377751142</v>
      </c>
    </row>
    <row r="103" spans="3:26">
      <c r="C103" s="222" t="s">
        <v>343</v>
      </c>
      <c r="D103" s="224">
        <v>1825</v>
      </c>
      <c r="E103" s="224">
        <v>1055040.4495021338</v>
      </c>
      <c r="F103" s="224">
        <v>578.10384068278802</v>
      </c>
      <c r="G103" s="224">
        <v>4012</v>
      </c>
      <c r="H103" s="224">
        <v>2160507.9116094988</v>
      </c>
      <c r="I103" s="249">
        <v>538.51187335092345</v>
      </c>
      <c r="J103" s="224">
        <v>4090</v>
      </c>
      <c r="K103" s="224">
        <v>2216556.5511288182</v>
      </c>
      <c r="L103" s="224">
        <v>541.94555112881801</v>
      </c>
      <c r="M103" s="226">
        <v>5343</v>
      </c>
      <c r="N103" s="224">
        <v>2900982.625</v>
      </c>
      <c r="O103" s="224">
        <v>542.95079787234044</v>
      </c>
      <c r="P103" s="224">
        <v>7819</v>
      </c>
      <c r="Q103" s="224">
        <v>4275090.2460106388</v>
      </c>
      <c r="R103" s="224">
        <v>546.75664893617022</v>
      </c>
      <c r="T103" s="228" t="s">
        <v>344</v>
      </c>
      <c r="U103" s="224">
        <v>6199</v>
      </c>
      <c r="V103" s="225">
        <f>39435721.11/U92</f>
        <v>2064697.440314136</v>
      </c>
      <c r="W103" s="229">
        <f t="shared" si="2"/>
        <v>333.06943705664395</v>
      </c>
      <c r="X103" s="224">
        <v>5385</v>
      </c>
      <c r="Y103" s="225">
        <f>34306144.49/X92</f>
        <v>1403688.3997545007</v>
      </c>
      <c r="Z103" s="229">
        <f t="shared" si="3"/>
        <v>260.66636949944302</v>
      </c>
    </row>
    <row r="104" spans="3:26">
      <c r="C104" s="222" t="s">
        <v>345</v>
      </c>
      <c r="D104" s="250">
        <v>1196</v>
      </c>
      <c r="E104" s="224">
        <v>773425.50071123743</v>
      </c>
      <c r="F104" s="224">
        <v>646.6770981507824</v>
      </c>
      <c r="G104" s="224">
        <v>3144</v>
      </c>
      <c r="H104" s="224">
        <v>1896861.604221636</v>
      </c>
      <c r="I104" s="249">
        <v>603.32717678100266</v>
      </c>
      <c r="J104" s="224">
        <v>3289</v>
      </c>
      <c r="K104" s="224">
        <v>2003005.5272244355</v>
      </c>
      <c r="L104" s="224">
        <v>609.00132802124824</v>
      </c>
      <c r="M104" s="226">
        <v>5036</v>
      </c>
      <c r="N104" s="224">
        <v>3064917.1861702129</v>
      </c>
      <c r="O104" s="224">
        <v>608.60106382978734</v>
      </c>
      <c r="P104" s="224">
        <v>4167</v>
      </c>
      <c r="Q104" s="224">
        <v>2523002.7952127662</v>
      </c>
      <c r="R104" s="224">
        <v>605.47207446808511</v>
      </c>
      <c r="T104" s="228" t="s">
        <v>346</v>
      </c>
      <c r="U104" s="224">
        <v>3245</v>
      </c>
      <c r="V104" s="225">
        <f>23132886.35/U92</f>
        <v>1211145.8821989528</v>
      </c>
      <c r="W104" s="229">
        <f t="shared" si="2"/>
        <v>373.23447833557867</v>
      </c>
      <c r="X104" s="224">
        <v>7646</v>
      </c>
      <c r="Y104" s="225">
        <f>54351214.7/X92</f>
        <v>2223863.1219312605</v>
      </c>
      <c r="Z104" s="229">
        <f t="shared" si="3"/>
        <v>290.85314176448605</v>
      </c>
    </row>
    <row r="105" spans="3:26">
      <c r="C105" s="222" t="s">
        <v>347</v>
      </c>
      <c r="D105" s="224">
        <v>861</v>
      </c>
      <c r="E105" s="224">
        <v>613412.51778093877</v>
      </c>
      <c r="F105" s="224">
        <v>712.44238975817927</v>
      </c>
      <c r="G105" s="224">
        <v>1562</v>
      </c>
      <c r="H105" s="224">
        <v>1031596.0883905012</v>
      </c>
      <c r="I105" s="249">
        <v>660.43271767810029</v>
      </c>
      <c r="J105" s="224">
        <v>1588</v>
      </c>
      <c r="K105" s="224">
        <v>1055840.8645418326</v>
      </c>
      <c r="L105" s="224">
        <v>664.88711819389118</v>
      </c>
      <c r="M105" s="226">
        <v>3283</v>
      </c>
      <c r="N105" s="224">
        <v>2206445.4574468085</v>
      </c>
      <c r="O105" s="224">
        <v>672.08244680851078</v>
      </c>
      <c r="P105" s="224">
        <v>4348</v>
      </c>
      <c r="Q105" s="224">
        <v>2896622.7739361706</v>
      </c>
      <c r="R105" s="224">
        <v>666.19680851063833</v>
      </c>
      <c r="T105" s="228" t="s">
        <v>348</v>
      </c>
      <c r="U105" s="224">
        <v>3186</v>
      </c>
      <c r="V105" s="225">
        <f>24887357.33/U92</f>
        <v>1303003.0015706804</v>
      </c>
      <c r="W105" s="229">
        <f t="shared" si="2"/>
        <v>408.97771549613321</v>
      </c>
      <c r="X105" s="224">
        <v>4925</v>
      </c>
      <c r="Y105" s="225">
        <f>39238646.47/X92</f>
        <v>1605509.2663666119</v>
      </c>
      <c r="Z105" s="229">
        <f t="shared" si="3"/>
        <v>325.99172921149483</v>
      </c>
    </row>
    <row r="106" spans="3:26">
      <c r="C106" s="222" t="s">
        <v>349</v>
      </c>
      <c r="D106" s="224">
        <v>587</v>
      </c>
      <c r="E106" s="224">
        <v>461068.04551920336</v>
      </c>
      <c r="F106" s="224">
        <v>785.46514935988614</v>
      </c>
      <c r="G106" s="224">
        <v>1599</v>
      </c>
      <c r="H106" s="224">
        <v>1173478.9617414246</v>
      </c>
      <c r="I106" s="249">
        <v>733.88258575197892</v>
      </c>
      <c r="J106" s="224">
        <v>1964</v>
      </c>
      <c r="K106" s="224">
        <v>1451080.0053120849</v>
      </c>
      <c r="L106" s="224">
        <v>738.83930942895086</v>
      </c>
      <c r="M106" s="226">
        <v>2815</v>
      </c>
      <c r="N106" s="224">
        <v>2068216.2792553192</v>
      </c>
      <c r="O106" s="224">
        <v>734.71276595744689</v>
      </c>
      <c r="P106" s="224">
        <v>4131</v>
      </c>
      <c r="Q106" s="224">
        <v>3005267.7180851065</v>
      </c>
      <c r="R106" s="224">
        <v>727.49202127659578</v>
      </c>
      <c r="T106" s="228" t="s">
        <v>350</v>
      </c>
      <c r="U106" s="224">
        <v>1848</v>
      </c>
      <c r="V106" s="225">
        <f>15902415.38/U92</f>
        <v>832587.19267015706</v>
      </c>
      <c r="W106" s="229">
        <f t="shared" si="2"/>
        <v>450.5341951678339</v>
      </c>
      <c r="X106" s="224">
        <v>2653</v>
      </c>
      <c r="Y106" s="225">
        <f>22788775.24/X92</f>
        <v>932437.6121112929</v>
      </c>
      <c r="Z106" s="229">
        <f t="shared" si="3"/>
        <v>351.46536453497657</v>
      </c>
    </row>
    <row r="107" spans="3:26">
      <c r="C107" s="222" t="s">
        <v>351</v>
      </c>
      <c r="D107" s="224">
        <v>324</v>
      </c>
      <c r="E107" s="224">
        <v>276476.85917496443</v>
      </c>
      <c r="F107" s="224">
        <v>853.32432432432427</v>
      </c>
      <c r="G107" s="224">
        <v>1227</v>
      </c>
      <c r="H107" s="224">
        <v>967437.41292875982</v>
      </c>
      <c r="I107" s="249">
        <v>788.45778364116097</v>
      </c>
      <c r="J107" s="224">
        <v>1652</v>
      </c>
      <c r="K107" s="224">
        <v>1310490.3452855246</v>
      </c>
      <c r="L107" s="224">
        <v>793.27490039840632</v>
      </c>
      <c r="M107" s="226">
        <v>2303</v>
      </c>
      <c r="N107" s="224">
        <v>1833240.4960106383</v>
      </c>
      <c r="O107" s="224">
        <v>796.02260638297878</v>
      </c>
      <c r="P107" s="224">
        <v>2792</v>
      </c>
      <c r="Q107" s="224">
        <v>2228407.3710106383</v>
      </c>
      <c r="R107" s="224">
        <v>798.13962765957456</v>
      </c>
      <c r="T107" s="228" t="s">
        <v>352</v>
      </c>
      <c r="U107" s="224">
        <v>1246</v>
      </c>
      <c r="V107" s="225">
        <f>11633379.93/U92</f>
        <v>609077.48324607324</v>
      </c>
      <c r="W107" s="229">
        <f t="shared" si="2"/>
        <v>488.82623053456922</v>
      </c>
      <c r="X107" s="224">
        <v>2082</v>
      </c>
      <c r="Y107" s="225">
        <f>19468441.26/X92</f>
        <v>796581.06628477911</v>
      </c>
      <c r="Z107" s="229">
        <f t="shared" si="3"/>
        <v>382.60377823476421</v>
      </c>
    </row>
    <row r="108" spans="3:26">
      <c r="C108" s="222" t="s">
        <v>353</v>
      </c>
      <c r="D108" s="224">
        <v>214</v>
      </c>
      <c r="E108" s="224">
        <v>197420.78805120909</v>
      </c>
      <c r="F108" s="224">
        <v>922.52773826458031</v>
      </c>
      <c r="G108" s="224">
        <v>694</v>
      </c>
      <c r="H108" s="224">
        <v>592812.66622691287</v>
      </c>
      <c r="I108" s="249">
        <v>854.19656992084435</v>
      </c>
      <c r="J108" s="224">
        <v>709</v>
      </c>
      <c r="K108" s="224">
        <v>609287.7822045153</v>
      </c>
      <c r="L108" s="224">
        <v>859.36254980079673</v>
      </c>
      <c r="M108" s="226">
        <v>1423</v>
      </c>
      <c r="N108" s="224">
        <v>1223450.323138298</v>
      </c>
      <c r="O108" s="224">
        <v>859.76861702127667</v>
      </c>
      <c r="P108" s="224">
        <v>3561</v>
      </c>
      <c r="Q108" s="224">
        <v>3056396.833776596</v>
      </c>
      <c r="R108" s="224">
        <v>858.29787234042556</v>
      </c>
      <c r="T108" s="228" t="s">
        <v>354</v>
      </c>
      <c r="U108" s="224">
        <v>864</v>
      </c>
      <c r="V108" s="225">
        <f>8715515.56/U92</f>
        <v>456309.71518324607</v>
      </c>
      <c r="W108" s="229">
        <f t="shared" si="2"/>
        <v>528.13624442505329</v>
      </c>
      <c r="X108" s="224">
        <v>2526</v>
      </c>
      <c r="Y108" s="225">
        <f>25499054.66/X92</f>
        <v>1043332.8420621931</v>
      </c>
      <c r="Z108" s="229">
        <f t="shared" si="3"/>
        <v>413.03754634291096</v>
      </c>
    </row>
    <row r="109" spans="3:26">
      <c r="C109" s="222" t="s">
        <v>355</v>
      </c>
      <c r="D109" s="224">
        <v>158</v>
      </c>
      <c r="E109" s="224">
        <v>156386.54623044096</v>
      </c>
      <c r="F109" s="224">
        <v>989.78805120910386</v>
      </c>
      <c r="G109" s="224">
        <v>475</v>
      </c>
      <c r="H109" s="224">
        <v>434930.39050131926</v>
      </c>
      <c r="I109" s="249">
        <v>915.64248021108176</v>
      </c>
      <c r="J109" s="224">
        <v>578</v>
      </c>
      <c r="K109" s="224">
        <v>532394.1195219123</v>
      </c>
      <c r="L109" s="224">
        <v>921.09694555112878</v>
      </c>
      <c r="M109" s="226">
        <v>1145</v>
      </c>
      <c r="N109" s="224">
        <v>1058422.2207446808</v>
      </c>
      <c r="O109" s="224">
        <v>924.38563829787245</v>
      </c>
      <c r="P109" s="224">
        <v>2378</v>
      </c>
      <c r="Q109" s="224">
        <v>2191986.6755319149</v>
      </c>
      <c r="R109" s="224">
        <v>921.777925531915</v>
      </c>
      <c r="T109" s="228" t="s">
        <v>356</v>
      </c>
      <c r="U109" s="224">
        <v>664</v>
      </c>
      <c r="V109" s="225">
        <f>7199161.15/U92</f>
        <v>376919.43193717278</v>
      </c>
      <c r="W109" s="229">
        <f t="shared" si="2"/>
        <v>567.64974689333246</v>
      </c>
      <c r="X109" s="224">
        <v>1509</v>
      </c>
      <c r="Y109" s="225">
        <f>16393195.61/X92</f>
        <v>670752.68453355145</v>
      </c>
      <c r="Z109" s="229">
        <f t="shared" si="3"/>
        <v>444.50144766968288</v>
      </c>
    </row>
    <row r="110" spans="3:26">
      <c r="C110" s="222" t="s">
        <v>357</v>
      </c>
      <c r="D110" s="224">
        <v>1100</v>
      </c>
      <c r="E110" s="224">
        <v>2068737.3328591748</v>
      </c>
      <c r="F110" s="224">
        <v>1880.669985775249</v>
      </c>
      <c r="G110" s="224">
        <v>1907</v>
      </c>
      <c r="H110" s="224">
        <v>2742344.4063324542</v>
      </c>
      <c r="I110" s="249">
        <v>1438.0408970976255</v>
      </c>
      <c r="J110" s="224">
        <v>2007</v>
      </c>
      <c r="K110" s="224">
        <v>2869186.0132802124</v>
      </c>
      <c r="L110" s="224">
        <v>1429.5896414342628</v>
      </c>
      <c r="M110" s="226">
        <v>9197</v>
      </c>
      <c r="N110" s="224">
        <v>16490708.478723407</v>
      </c>
      <c r="O110" s="224">
        <v>1793.0531914893618</v>
      </c>
      <c r="P110" s="224">
        <v>13719</v>
      </c>
      <c r="Q110" s="224">
        <v>23930171.872340426</v>
      </c>
      <c r="R110" s="224">
        <v>1744.308510638298</v>
      </c>
      <c r="T110" s="228" t="s">
        <v>358</v>
      </c>
      <c r="U110" s="224">
        <v>881</v>
      </c>
      <c r="V110" s="225">
        <f>10414140.52/U92</f>
        <v>545242.9591623036</v>
      </c>
      <c r="W110" s="229">
        <f t="shared" si="2"/>
        <v>618.89098656334124</v>
      </c>
      <c r="X110" s="224">
        <v>1507</v>
      </c>
      <c r="Y110" s="225">
        <f>17814359.39/X92</f>
        <v>728901.77536824881</v>
      </c>
      <c r="Z110" s="229">
        <f t="shared" si="3"/>
        <v>483.67735591788244</v>
      </c>
    </row>
    <row r="111" spans="3:26">
      <c r="C111" s="232" t="s">
        <v>306</v>
      </c>
      <c r="D111" s="235">
        <v>50647</v>
      </c>
      <c r="E111" s="235">
        <v>18736147.064011376</v>
      </c>
      <c r="F111" s="235">
        <v>369.93598862019917</v>
      </c>
      <c r="G111" s="235">
        <v>50820</v>
      </c>
      <c r="H111" s="235">
        <v>21514441.754617415</v>
      </c>
      <c r="I111" s="251">
        <v>423.34564643799473</v>
      </c>
      <c r="J111" s="235">
        <v>49667</v>
      </c>
      <c r="K111" s="235">
        <v>22210695.321381144</v>
      </c>
      <c r="L111" s="235">
        <v>447.19256308100933</v>
      </c>
      <c r="M111" s="237">
        <v>51662</v>
      </c>
      <c r="N111" s="235">
        <v>38009024.972074471</v>
      </c>
      <c r="O111" s="235">
        <v>735.72473404255322</v>
      </c>
      <c r="P111" s="235">
        <v>58239</v>
      </c>
      <c r="Q111" s="235">
        <v>48651955.319148935</v>
      </c>
      <c r="R111" s="235">
        <v>835.38430851063833</v>
      </c>
      <c r="T111" s="239" t="s">
        <v>359</v>
      </c>
      <c r="U111" s="224">
        <v>4695</v>
      </c>
      <c r="V111" s="225">
        <f>91099171.11/U92</f>
        <v>4769590.1104712039</v>
      </c>
      <c r="W111" s="229">
        <f t="shared" si="2"/>
        <v>1015.8871374805547</v>
      </c>
      <c r="X111" s="224">
        <v>9585</v>
      </c>
      <c r="Y111" s="225">
        <f>235744341.76/X92</f>
        <v>9645840.4975450076</v>
      </c>
      <c r="Z111" s="229">
        <f t="shared" si="3"/>
        <v>1006.347469749088</v>
      </c>
    </row>
    <row r="112" spans="3:26">
      <c r="C112" s="240" t="s">
        <v>360</v>
      </c>
      <c r="D112" s="240"/>
      <c r="E112" s="240"/>
      <c r="F112" s="240"/>
      <c r="G112" s="240"/>
      <c r="H112" s="240"/>
      <c r="T112" s="241" t="s">
        <v>306</v>
      </c>
      <c r="U112" s="235">
        <f>SUM(U95:U111)</f>
        <v>58193</v>
      </c>
      <c r="V112" s="235">
        <f>SUM(V95:V111)</f>
        <v>19944822.068586387</v>
      </c>
      <c r="W112" s="242">
        <f t="shared" si="2"/>
        <v>342.73575977499678</v>
      </c>
      <c r="X112" s="235">
        <f>SUM(X95:X111)</f>
        <v>59813</v>
      </c>
      <c r="Y112" s="235">
        <f>SUM(Y95:Y111)</f>
        <v>23047974.226677578</v>
      </c>
      <c r="Z112" s="242">
        <f t="shared" si="3"/>
        <v>385.33386097800775</v>
      </c>
    </row>
    <row r="113" spans="3:23">
      <c r="C113" s="528" t="s">
        <v>361</v>
      </c>
      <c r="D113" s="528"/>
      <c r="E113" s="528"/>
      <c r="F113" s="528"/>
      <c r="T113" s="245" t="s">
        <v>361</v>
      </c>
      <c r="U113" s="245"/>
      <c r="V113" s="245"/>
      <c r="W113" s="245"/>
    </row>
    <row r="114" spans="3:23">
      <c r="T114" s="216" t="s">
        <v>360</v>
      </c>
    </row>
    <row r="115" spans="3:23">
      <c r="C115" s="535" t="s">
        <v>367</v>
      </c>
      <c r="D115" s="536"/>
      <c r="E115" s="536"/>
      <c r="F115" s="536"/>
      <c r="G115" s="536"/>
      <c r="H115" s="537"/>
      <c r="I115" s="252"/>
      <c r="J115" s="252"/>
      <c r="K115" s="252"/>
      <c r="L115" s="252"/>
      <c r="M115" s="252"/>
      <c r="N115" s="252"/>
      <c r="O115" s="252"/>
      <c r="P115" s="252"/>
      <c r="Q115" s="252"/>
      <c r="R115" s="252"/>
      <c r="S115" s="252"/>
      <c r="T115" s="70" t="s">
        <v>362</v>
      </c>
      <c r="U115" s="195" t="s">
        <v>363</v>
      </c>
    </row>
    <row r="116" spans="3:23">
      <c r="C116" s="253" t="s">
        <v>368</v>
      </c>
      <c r="D116" s="254">
        <v>2015</v>
      </c>
      <c r="E116" s="254">
        <v>2016</v>
      </c>
      <c r="F116" s="254">
        <v>2017</v>
      </c>
      <c r="G116" s="254">
        <v>2018</v>
      </c>
      <c r="H116" s="254">
        <v>2019</v>
      </c>
      <c r="I116" s="255"/>
      <c r="J116" s="255"/>
      <c r="K116" s="255"/>
      <c r="L116" s="255"/>
      <c r="M116" s="255"/>
      <c r="N116" s="255"/>
      <c r="O116" s="255"/>
      <c r="T116" s="70" t="s">
        <v>364</v>
      </c>
    </row>
    <row r="117" spans="3:23" ht="15.75" customHeight="1">
      <c r="C117" s="151" t="s">
        <v>369</v>
      </c>
      <c r="D117" s="256">
        <v>273722</v>
      </c>
      <c r="E117" s="256">
        <v>260504</v>
      </c>
      <c r="F117" s="256">
        <v>251454</v>
      </c>
      <c r="G117" s="256">
        <v>244879</v>
      </c>
      <c r="H117" s="256">
        <v>248294</v>
      </c>
      <c r="I117" s="257"/>
      <c r="J117" s="257"/>
      <c r="K117" s="257"/>
      <c r="L117" s="257"/>
      <c r="M117" s="257"/>
      <c r="N117" s="257"/>
      <c r="O117" s="257"/>
    </row>
    <row r="118" spans="3:23" ht="15.75" customHeight="1">
      <c r="C118" s="151" t="s">
        <v>370</v>
      </c>
      <c r="D118" s="256">
        <v>477517</v>
      </c>
      <c r="E118" s="256">
        <v>552516</v>
      </c>
      <c r="F118" s="256">
        <v>643562</v>
      </c>
      <c r="G118" s="256">
        <v>816419</v>
      </c>
      <c r="H118" s="256">
        <v>741732</v>
      </c>
      <c r="I118" s="257"/>
      <c r="J118" s="257"/>
      <c r="K118" s="257"/>
      <c r="L118" s="257"/>
      <c r="M118" s="257"/>
      <c r="N118" s="257"/>
      <c r="O118" s="257"/>
    </row>
    <row r="119" spans="3:23" ht="15.75" customHeight="1">
      <c r="C119" s="151" t="s">
        <v>371</v>
      </c>
      <c r="D119" s="256">
        <v>682126</v>
      </c>
      <c r="E119" s="256">
        <v>906907</v>
      </c>
      <c r="F119" s="256">
        <v>1111184</v>
      </c>
      <c r="G119" s="256">
        <v>1361087</v>
      </c>
      <c r="H119" s="256">
        <v>1491614</v>
      </c>
      <c r="I119" s="257"/>
      <c r="J119" s="257"/>
      <c r="K119" s="257"/>
      <c r="L119" s="257"/>
      <c r="M119" s="257"/>
      <c r="N119" s="257"/>
      <c r="O119" s="257"/>
    </row>
    <row r="120" spans="3:23" ht="18" customHeight="1">
      <c r="C120" s="151" t="s">
        <v>372</v>
      </c>
      <c r="D120" s="256">
        <v>252496</v>
      </c>
      <c r="E120" s="256">
        <v>271828</v>
      </c>
      <c r="F120" s="256">
        <v>257898</v>
      </c>
      <c r="G120" s="256">
        <v>309458</v>
      </c>
      <c r="H120" s="256">
        <v>299850</v>
      </c>
      <c r="I120" s="257"/>
      <c r="J120" s="257"/>
      <c r="K120" s="257"/>
      <c r="L120" s="257"/>
      <c r="M120" s="257"/>
      <c r="N120" s="257"/>
      <c r="O120" s="257"/>
    </row>
    <row r="121" spans="3:23" ht="25.5" customHeight="1">
      <c r="C121" s="151" t="s">
        <v>373</v>
      </c>
      <c r="D121" s="256">
        <v>80859</v>
      </c>
      <c r="E121" s="256">
        <v>112030</v>
      </c>
      <c r="F121" s="256">
        <v>95531</v>
      </c>
      <c r="G121" s="256">
        <v>94912</v>
      </c>
      <c r="H121" s="256">
        <v>91903</v>
      </c>
      <c r="I121" s="257"/>
      <c r="J121" s="257"/>
      <c r="K121" s="257"/>
      <c r="L121" s="257"/>
      <c r="M121" s="257"/>
      <c r="N121" s="257"/>
      <c r="O121" s="257"/>
    </row>
    <row r="122" spans="3:23" ht="15.75" customHeight="1">
      <c r="C122" s="151" t="s">
        <v>374</v>
      </c>
      <c r="D122" s="256">
        <v>667917</v>
      </c>
      <c r="E122" s="256">
        <v>705053</v>
      </c>
      <c r="F122" s="256">
        <v>939985</v>
      </c>
      <c r="G122" s="256">
        <v>969354</v>
      </c>
      <c r="H122" s="256">
        <v>892450</v>
      </c>
      <c r="I122" s="257"/>
      <c r="J122" s="257"/>
      <c r="K122" s="257"/>
      <c r="L122" s="257"/>
      <c r="M122" s="257"/>
      <c r="N122" s="257"/>
      <c r="O122" s="257"/>
    </row>
    <row r="123" spans="3:23" ht="28.5" customHeight="1">
      <c r="C123" s="151" t="s">
        <v>375</v>
      </c>
      <c r="D123" s="256">
        <v>979715</v>
      </c>
      <c r="E123" s="256">
        <v>983496</v>
      </c>
      <c r="F123" s="256">
        <v>1151121</v>
      </c>
      <c r="G123" s="256">
        <v>1247920</v>
      </c>
      <c r="H123" s="256">
        <v>1258870</v>
      </c>
      <c r="I123" s="257"/>
      <c r="J123" s="257"/>
      <c r="K123" s="257"/>
      <c r="L123" s="257"/>
      <c r="M123" s="257"/>
      <c r="N123" s="257"/>
      <c r="O123" s="257"/>
    </row>
    <row r="124" spans="3:23" ht="15.75" customHeight="1">
      <c r="C124" s="258" t="s">
        <v>376</v>
      </c>
      <c r="D124" s="256">
        <v>771763</v>
      </c>
      <c r="E124" s="256">
        <v>756044</v>
      </c>
      <c r="F124" s="256">
        <v>881828</v>
      </c>
      <c r="G124" s="256">
        <v>1060810</v>
      </c>
      <c r="H124" s="256">
        <v>1089559</v>
      </c>
      <c r="I124" s="259"/>
      <c r="J124" s="259"/>
      <c r="K124" s="259"/>
      <c r="L124" s="259"/>
      <c r="M124" s="259"/>
      <c r="N124" s="259"/>
      <c r="O124" s="259"/>
    </row>
    <row r="125" spans="3:23" ht="28.5" customHeight="1">
      <c r="C125" s="151" t="s">
        <v>377</v>
      </c>
      <c r="D125" s="256">
        <v>132183</v>
      </c>
      <c r="E125" s="256">
        <v>155223</v>
      </c>
      <c r="F125" s="256">
        <v>163435</v>
      </c>
      <c r="G125" s="256">
        <v>219453</v>
      </c>
      <c r="H125" s="256">
        <v>200477</v>
      </c>
      <c r="I125" s="257"/>
      <c r="J125" s="257"/>
      <c r="K125" s="257"/>
      <c r="L125" s="257"/>
      <c r="M125" s="257"/>
      <c r="N125" s="257"/>
      <c r="O125" s="257"/>
    </row>
    <row r="126" spans="3:23" ht="15.75" customHeight="1">
      <c r="C126" s="151" t="s">
        <v>378</v>
      </c>
      <c r="D126" s="256">
        <v>267915</v>
      </c>
      <c r="E126" s="256">
        <v>262674</v>
      </c>
      <c r="F126" s="256">
        <v>251880</v>
      </c>
      <c r="G126" s="256">
        <v>300112</v>
      </c>
      <c r="H126" s="256">
        <v>308248</v>
      </c>
      <c r="I126" s="257"/>
      <c r="J126" s="257"/>
      <c r="K126" s="257"/>
      <c r="L126" s="257"/>
      <c r="M126" s="257"/>
      <c r="N126" s="257"/>
      <c r="O126" s="257"/>
    </row>
    <row r="127" spans="3:23" ht="15.75" customHeight="1">
      <c r="C127" s="151" t="s">
        <v>379</v>
      </c>
      <c r="D127" s="256">
        <v>761471</v>
      </c>
      <c r="E127" s="256">
        <v>1037332</v>
      </c>
      <c r="F127" s="256">
        <v>1105905</v>
      </c>
      <c r="G127" s="256">
        <v>1104112</v>
      </c>
      <c r="H127" s="256">
        <v>1083369</v>
      </c>
      <c r="I127" s="257"/>
      <c r="J127" s="257"/>
      <c r="K127" s="257"/>
      <c r="L127" s="257"/>
      <c r="M127" s="257"/>
      <c r="N127" s="257"/>
      <c r="O127" s="257"/>
    </row>
    <row r="128" spans="3:23" ht="15.75" customHeight="1">
      <c r="C128" s="151" t="s">
        <v>380</v>
      </c>
      <c r="D128" s="256">
        <v>7493</v>
      </c>
      <c r="E128" s="256">
        <v>8474</v>
      </c>
      <c r="F128" s="256">
        <v>9385</v>
      </c>
      <c r="G128" s="256">
        <v>9666</v>
      </c>
      <c r="H128" s="256">
        <v>9946</v>
      </c>
      <c r="I128" s="257"/>
      <c r="J128" s="257"/>
      <c r="K128" s="257"/>
      <c r="L128" s="257"/>
      <c r="M128" s="257"/>
      <c r="N128" s="257"/>
      <c r="O128" s="257"/>
    </row>
    <row r="129" spans="3:15" ht="23.25" customHeight="1">
      <c r="C129" s="151" t="s">
        <v>381</v>
      </c>
      <c r="D129" s="256">
        <v>77078</v>
      </c>
      <c r="E129" s="256">
        <v>89112</v>
      </c>
      <c r="F129" s="256">
        <v>99462</v>
      </c>
      <c r="G129" s="256">
        <v>111364</v>
      </c>
      <c r="H129" s="256">
        <v>123266</v>
      </c>
      <c r="I129" s="257"/>
      <c r="J129" s="257"/>
      <c r="K129" s="257"/>
      <c r="L129" s="257"/>
      <c r="M129" s="257"/>
      <c r="N129" s="257"/>
      <c r="O129" s="257"/>
    </row>
    <row r="130" spans="3:15" ht="20.25" customHeight="1">
      <c r="C130" s="151" t="s">
        <v>382</v>
      </c>
      <c r="D130" s="256">
        <v>228783</v>
      </c>
      <c r="E130" s="256">
        <v>217695</v>
      </c>
      <c r="F130" s="256">
        <v>282334</v>
      </c>
      <c r="G130" s="256">
        <v>276661</v>
      </c>
      <c r="H130" s="256">
        <v>270988</v>
      </c>
      <c r="I130" s="257"/>
      <c r="J130" s="257"/>
      <c r="K130" s="257"/>
      <c r="L130" s="257"/>
      <c r="M130" s="257"/>
      <c r="N130" s="257"/>
      <c r="O130" s="257"/>
    </row>
    <row r="131" spans="3:15" ht="29.25" customHeight="1">
      <c r="C131" s="151" t="s">
        <v>383</v>
      </c>
      <c r="D131" s="256">
        <v>1058096</v>
      </c>
      <c r="E131" s="256">
        <v>1027911</v>
      </c>
      <c r="F131" s="256">
        <v>1061353</v>
      </c>
      <c r="G131" s="256">
        <v>1252700</v>
      </c>
      <c r="H131" s="256">
        <v>1839026</v>
      </c>
      <c r="I131" s="257"/>
      <c r="J131" s="257"/>
      <c r="K131" s="257"/>
      <c r="L131" s="257"/>
      <c r="M131" s="257"/>
      <c r="N131" s="257"/>
      <c r="O131" s="257"/>
    </row>
    <row r="132" spans="3:15" ht="15.75" customHeight="1">
      <c r="C132" s="151" t="s">
        <v>384</v>
      </c>
      <c r="D132" s="256">
        <v>695106</v>
      </c>
      <c r="E132" s="256">
        <v>731882</v>
      </c>
      <c r="F132" s="256">
        <v>964743</v>
      </c>
      <c r="G132" s="256">
        <v>1035967</v>
      </c>
      <c r="H132" s="256">
        <v>1258635</v>
      </c>
      <c r="I132" s="257"/>
      <c r="J132" s="257"/>
      <c r="K132" s="257"/>
      <c r="L132" s="257"/>
      <c r="M132" s="257"/>
      <c r="N132" s="257"/>
      <c r="O132" s="257"/>
    </row>
    <row r="133" spans="3:15" ht="15.75" customHeight="1">
      <c r="C133" s="151" t="s">
        <v>385</v>
      </c>
      <c r="D133" s="256">
        <v>744230</v>
      </c>
      <c r="E133" s="256">
        <v>768141</v>
      </c>
      <c r="F133" s="256">
        <v>855013</v>
      </c>
      <c r="G133" s="256">
        <v>1077883</v>
      </c>
      <c r="H133" s="256">
        <v>1228971</v>
      </c>
      <c r="I133" s="257"/>
      <c r="J133" s="257"/>
      <c r="K133" s="257"/>
      <c r="L133" s="257"/>
      <c r="M133" s="257"/>
      <c r="N133" s="257"/>
      <c r="O133" s="257"/>
    </row>
    <row r="134" spans="3:15" ht="15.75" customHeight="1">
      <c r="C134" s="166" t="s">
        <v>386</v>
      </c>
      <c r="D134" s="256">
        <v>110499</v>
      </c>
      <c r="E134" s="256">
        <v>45246</v>
      </c>
      <c r="F134" s="256">
        <v>45248</v>
      </c>
      <c r="G134" s="256">
        <v>47194</v>
      </c>
      <c r="H134" s="256">
        <v>57256</v>
      </c>
      <c r="I134" s="260"/>
      <c r="J134" s="260"/>
      <c r="K134" s="260"/>
      <c r="L134" s="260"/>
      <c r="M134" s="260"/>
      <c r="N134" s="260"/>
      <c r="O134" s="260"/>
    </row>
    <row r="135" spans="3:15" ht="42" customHeight="1">
      <c r="C135" s="166" t="s">
        <v>387</v>
      </c>
      <c r="D135" s="256">
        <v>104919</v>
      </c>
      <c r="E135" s="256">
        <v>97629</v>
      </c>
      <c r="F135" s="256">
        <v>115343</v>
      </c>
      <c r="G135" s="256">
        <v>125659</v>
      </c>
      <c r="H135" s="256">
        <v>145378</v>
      </c>
      <c r="I135" s="260"/>
      <c r="J135" s="260"/>
      <c r="K135" s="260"/>
      <c r="L135" s="260"/>
      <c r="M135" s="260"/>
      <c r="N135" s="260"/>
      <c r="O135" s="260"/>
    </row>
    <row r="136" spans="3:15" ht="30.75" customHeight="1">
      <c r="C136" s="166" t="s">
        <v>388</v>
      </c>
      <c r="D136" s="256">
        <v>390410</v>
      </c>
      <c r="E136" s="256">
        <v>409805</v>
      </c>
      <c r="F136" s="256">
        <v>429200</v>
      </c>
      <c r="G136" s="256">
        <v>467587</v>
      </c>
      <c r="H136" s="256">
        <v>537753</v>
      </c>
      <c r="I136" s="260"/>
      <c r="J136" s="260"/>
      <c r="K136" s="260"/>
      <c r="L136" s="260"/>
      <c r="M136" s="260"/>
      <c r="N136" s="260"/>
      <c r="O136" s="260"/>
    </row>
    <row r="137" spans="3:15" ht="15.75" customHeight="1">
      <c r="C137" s="151"/>
      <c r="D137" s="256">
        <v>4899</v>
      </c>
      <c r="E137" s="256">
        <v>4558</v>
      </c>
      <c r="F137" s="256">
        <v>5385</v>
      </c>
      <c r="G137" s="256">
        <v>5867</v>
      </c>
      <c r="H137" s="256">
        <v>6301</v>
      </c>
      <c r="I137" s="257"/>
      <c r="J137" s="257"/>
      <c r="K137" s="257"/>
      <c r="L137" s="257"/>
      <c r="M137" s="257"/>
      <c r="N137" s="257"/>
      <c r="O137" s="257"/>
    </row>
    <row r="138" spans="3:15">
      <c r="C138" s="166" t="s">
        <v>306</v>
      </c>
      <c r="D138" s="256">
        <v>8769197</v>
      </c>
      <c r="E138" s="256">
        <v>9404060</v>
      </c>
      <c r="F138" s="256">
        <v>10721248</v>
      </c>
      <c r="G138" s="256">
        <v>12139065</v>
      </c>
      <c r="H138" s="256">
        <v>13183885</v>
      </c>
      <c r="I138" s="260"/>
      <c r="J138" s="260"/>
      <c r="K138" s="260"/>
      <c r="L138" s="260"/>
      <c r="M138" s="260"/>
      <c r="N138" s="260"/>
      <c r="O138" s="260"/>
    </row>
    <row r="139" spans="3:15">
      <c r="C139" s="216" t="s">
        <v>389</v>
      </c>
    </row>
    <row r="142" spans="3:15">
      <c r="C142" s="541" t="s">
        <v>390</v>
      </c>
      <c r="D142" s="541"/>
      <c r="E142" s="541"/>
      <c r="F142" s="541"/>
      <c r="G142" s="541"/>
    </row>
    <row r="144" spans="3:15">
      <c r="C144" s="538" t="s">
        <v>391</v>
      </c>
      <c r="D144" s="539"/>
      <c r="E144" s="539"/>
      <c r="F144" s="539"/>
      <c r="G144" s="540"/>
    </row>
    <row r="145" spans="3:7" ht="33.75" customHeight="1">
      <c r="C145" s="261" t="s">
        <v>392</v>
      </c>
      <c r="D145" s="262" t="s">
        <v>393</v>
      </c>
      <c r="E145" s="263" t="s">
        <v>394</v>
      </c>
      <c r="F145" s="263" t="s">
        <v>395</v>
      </c>
      <c r="G145" s="263" t="s">
        <v>396</v>
      </c>
    </row>
    <row r="146" spans="3:7">
      <c r="C146" s="264" t="s">
        <v>397</v>
      </c>
      <c r="D146" s="13">
        <v>254</v>
      </c>
      <c r="E146" s="13" t="s">
        <v>398</v>
      </c>
      <c r="F146" s="13">
        <v>2.1</v>
      </c>
      <c r="G146" s="13" t="s">
        <v>399</v>
      </c>
    </row>
    <row r="147" spans="3:7">
      <c r="C147" s="264" t="s">
        <v>400</v>
      </c>
      <c r="D147" s="13">
        <v>548</v>
      </c>
      <c r="E147" s="13" t="s">
        <v>401</v>
      </c>
      <c r="F147" s="13">
        <v>2.59</v>
      </c>
      <c r="G147" s="265" t="s">
        <v>402</v>
      </c>
    </row>
    <row r="148" spans="3:7">
      <c r="C148" s="264" t="s">
        <v>403</v>
      </c>
      <c r="D148" s="13">
        <v>908</v>
      </c>
      <c r="E148" s="13" t="s">
        <v>404</v>
      </c>
      <c r="F148" s="13">
        <v>1.79</v>
      </c>
      <c r="G148" s="266" t="s">
        <v>402</v>
      </c>
    </row>
    <row r="149" spans="3:7">
      <c r="C149" s="216" t="s">
        <v>405</v>
      </c>
    </row>
    <row r="151" spans="3:7">
      <c r="C151" s="527" t="s">
        <v>406</v>
      </c>
      <c r="D151" s="527"/>
      <c r="E151" s="527"/>
      <c r="F151" s="527"/>
    </row>
    <row r="152" spans="3:7" ht="45">
      <c r="C152" s="261" t="s">
        <v>407</v>
      </c>
      <c r="D152" s="262" t="s">
        <v>393</v>
      </c>
      <c r="E152" s="263" t="s">
        <v>394</v>
      </c>
      <c r="F152" s="263" t="s">
        <v>395</v>
      </c>
    </row>
    <row r="153" spans="3:7" ht="26.25">
      <c r="C153" s="267" t="s">
        <v>408</v>
      </c>
      <c r="D153" s="234">
        <v>138</v>
      </c>
      <c r="E153" s="234">
        <v>8.65</v>
      </c>
      <c r="F153" s="234" t="s">
        <v>409</v>
      </c>
    </row>
    <row r="154" spans="3:7">
      <c r="C154" s="264" t="s">
        <v>410</v>
      </c>
      <c r="D154" s="234">
        <v>45</v>
      </c>
      <c r="E154" s="234" t="s">
        <v>411</v>
      </c>
      <c r="F154" s="234" t="s">
        <v>412</v>
      </c>
    </row>
    <row r="155" spans="3:7">
      <c r="C155" s="264" t="s">
        <v>413</v>
      </c>
      <c r="D155" s="234">
        <v>259</v>
      </c>
      <c r="E155" s="234" t="s">
        <v>414</v>
      </c>
      <c r="F155" s="234" t="s">
        <v>415</v>
      </c>
    </row>
    <row r="156" spans="3:7" ht="26.25">
      <c r="C156" s="267" t="s">
        <v>416</v>
      </c>
      <c r="D156" s="234">
        <v>7</v>
      </c>
      <c r="E156" s="234" t="s">
        <v>417</v>
      </c>
      <c r="F156" s="234" t="s">
        <v>418</v>
      </c>
    </row>
    <row r="157" spans="3:7">
      <c r="C157" s="264" t="s">
        <v>419</v>
      </c>
      <c r="D157" s="234">
        <v>14</v>
      </c>
      <c r="E157" s="234" t="s">
        <v>420</v>
      </c>
      <c r="F157" s="234" t="s">
        <v>421</v>
      </c>
    </row>
    <row r="158" spans="3:7">
      <c r="C158" s="264" t="s">
        <v>422</v>
      </c>
      <c r="D158" s="234">
        <v>183</v>
      </c>
      <c r="E158" s="234" t="s">
        <v>423</v>
      </c>
      <c r="F158" s="234" t="s">
        <v>424</v>
      </c>
    </row>
    <row r="159" spans="3:7">
      <c r="C159" s="264" t="s">
        <v>425</v>
      </c>
      <c r="D159" s="234">
        <v>199</v>
      </c>
      <c r="E159" s="234" t="s">
        <v>426</v>
      </c>
      <c r="F159" s="234" t="s">
        <v>427</v>
      </c>
    </row>
    <row r="160" spans="3:7">
      <c r="C160" s="264" t="s">
        <v>428</v>
      </c>
      <c r="D160" s="234">
        <v>104</v>
      </c>
      <c r="E160" s="234" t="s">
        <v>429</v>
      </c>
      <c r="F160" s="234" t="s">
        <v>430</v>
      </c>
    </row>
    <row r="161" spans="3:14">
      <c r="C161" s="264" t="s">
        <v>431</v>
      </c>
      <c r="D161" s="234">
        <v>41</v>
      </c>
      <c r="E161" s="234" t="s">
        <v>432</v>
      </c>
      <c r="F161" s="234" t="s">
        <v>433</v>
      </c>
    </row>
    <row r="162" spans="3:14">
      <c r="C162" s="264" t="s">
        <v>434</v>
      </c>
      <c r="D162" s="234">
        <v>47</v>
      </c>
      <c r="E162" s="234" t="s">
        <v>435</v>
      </c>
      <c r="F162" s="234" t="s">
        <v>436</v>
      </c>
    </row>
    <row r="163" spans="3:14">
      <c r="C163" s="264" t="s">
        <v>437</v>
      </c>
      <c r="D163" s="234">
        <v>47</v>
      </c>
      <c r="E163" s="234" t="s">
        <v>438</v>
      </c>
      <c r="F163" s="234" t="s">
        <v>439</v>
      </c>
    </row>
    <row r="164" spans="3:14">
      <c r="C164" s="264" t="s">
        <v>440</v>
      </c>
      <c r="D164" s="234">
        <v>0</v>
      </c>
      <c r="E164" s="13"/>
      <c r="F164" s="13"/>
    </row>
    <row r="165" spans="3:14">
      <c r="C165" s="264" t="s">
        <v>441</v>
      </c>
      <c r="D165" s="234">
        <v>32</v>
      </c>
      <c r="E165" s="234" t="s">
        <v>442</v>
      </c>
      <c r="F165" s="234" t="s">
        <v>443</v>
      </c>
    </row>
    <row r="170" spans="3:14">
      <c r="C170" s="496" t="s">
        <v>1433</v>
      </c>
      <c r="D170" s="496"/>
      <c r="E170" s="496"/>
      <c r="F170" s="496"/>
      <c r="G170" s="496"/>
      <c r="H170" s="496"/>
      <c r="I170" s="496"/>
      <c r="J170" s="496"/>
      <c r="K170" s="496"/>
      <c r="L170" s="496"/>
      <c r="M170" s="496"/>
      <c r="N170" s="496"/>
    </row>
    <row r="171" spans="3:14">
      <c r="C171" s="269"/>
      <c r="D171" s="268" t="s">
        <v>399</v>
      </c>
      <c r="E171" s="270" t="s">
        <v>402</v>
      </c>
      <c r="F171" s="270" t="s">
        <v>1425</v>
      </c>
      <c r="G171" s="268" t="s">
        <v>1426</v>
      </c>
      <c r="H171" s="268" t="s">
        <v>1427</v>
      </c>
      <c r="I171" s="268" t="s">
        <v>1428</v>
      </c>
      <c r="J171" s="268" t="s">
        <v>1429</v>
      </c>
      <c r="K171" s="268" t="s">
        <v>1430</v>
      </c>
      <c r="L171" s="268" t="s">
        <v>1431</v>
      </c>
      <c r="M171" s="268" t="s">
        <v>1432</v>
      </c>
      <c r="N171" s="269" t="s">
        <v>306</v>
      </c>
    </row>
    <row r="172" spans="3:14">
      <c r="C172" s="13" t="s">
        <v>304</v>
      </c>
      <c r="D172" s="13">
        <v>277</v>
      </c>
      <c r="E172" s="13">
        <v>82</v>
      </c>
      <c r="F172" s="13">
        <v>156</v>
      </c>
      <c r="G172" s="13">
        <v>200</v>
      </c>
      <c r="H172" s="13">
        <v>321</v>
      </c>
      <c r="I172" s="13">
        <v>332</v>
      </c>
      <c r="J172" s="13">
        <v>111</v>
      </c>
      <c r="K172" s="13">
        <v>57</v>
      </c>
      <c r="L172" s="13">
        <v>72</v>
      </c>
      <c r="M172" s="13">
        <v>53</v>
      </c>
      <c r="N172" s="13">
        <v>1661</v>
      </c>
    </row>
    <row r="173" spans="3:14">
      <c r="C173" s="234" t="s">
        <v>1435</v>
      </c>
      <c r="D173" s="13">
        <v>16.68</v>
      </c>
      <c r="E173" s="13">
        <v>4.9400000000000004</v>
      </c>
      <c r="F173" s="13">
        <v>9.39</v>
      </c>
      <c r="G173" s="13">
        <v>12.04</v>
      </c>
      <c r="H173" s="13">
        <v>19.329999999999998</v>
      </c>
      <c r="I173" s="13">
        <v>19.989999999999998</v>
      </c>
      <c r="J173" s="13">
        <v>6.68</v>
      </c>
      <c r="K173" s="13">
        <v>3.43</v>
      </c>
      <c r="L173" s="13">
        <v>4.33</v>
      </c>
      <c r="M173" s="13">
        <v>3.19</v>
      </c>
      <c r="N173" s="13">
        <v>100</v>
      </c>
    </row>
    <row r="174" spans="3:14">
      <c r="C174" s="13" t="s">
        <v>305</v>
      </c>
      <c r="D174" s="13">
        <v>151</v>
      </c>
      <c r="E174" s="13">
        <v>53</v>
      </c>
      <c r="F174" s="13">
        <v>92</v>
      </c>
      <c r="G174" s="13">
        <v>103</v>
      </c>
      <c r="H174" s="13">
        <v>189</v>
      </c>
      <c r="I174" s="13">
        <v>242</v>
      </c>
      <c r="J174" s="13">
        <v>127</v>
      </c>
      <c r="K174" s="13">
        <v>57</v>
      </c>
      <c r="L174" s="13">
        <v>77</v>
      </c>
      <c r="M174" s="13">
        <v>39</v>
      </c>
      <c r="N174" s="13">
        <v>1130</v>
      </c>
    </row>
    <row r="175" spans="3:14">
      <c r="C175" s="234" t="s">
        <v>1435</v>
      </c>
      <c r="D175" s="13">
        <v>13.36</v>
      </c>
      <c r="E175" s="13">
        <v>4.6900000000000004</v>
      </c>
      <c r="F175" s="13">
        <v>8.14</v>
      </c>
      <c r="G175" s="13">
        <v>9.1199999999999992</v>
      </c>
      <c r="H175" s="13">
        <v>16.73</v>
      </c>
      <c r="I175" s="13">
        <v>21.42</v>
      </c>
      <c r="J175" s="13">
        <v>11.24</v>
      </c>
      <c r="K175" s="13">
        <v>5.04</v>
      </c>
      <c r="L175" s="13">
        <v>6.81</v>
      </c>
      <c r="M175" s="13">
        <v>3.45</v>
      </c>
      <c r="N175" s="13">
        <v>100</v>
      </c>
    </row>
    <row r="176" spans="3:14">
      <c r="C176" s="13" t="s">
        <v>306</v>
      </c>
      <c r="D176" s="13">
        <v>428</v>
      </c>
      <c r="E176" s="13">
        <v>135</v>
      </c>
      <c r="F176" s="13">
        <v>248</v>
      </c>
      <c r="G176" s="13">
        <v>303</v>
      </c>
      <c r="H176" s="13">
        <v>510</v>
      </c>
      <c r="I176" s="13">
        <v>574</v>
      </c>
      <c r="J176" s="13">
        <v>238</v>
      </c>
      <c r="K176" s="13">
        <v>114</v>
      </c>
      <c r="L176" s="13">
        <v>149</v>
      </c>
      <c r="M176" s="13">
        <v>92</v>
      </c>
      <c r="N176" s="13">
        <v>2791</v>
      </c>
    </row>
    <row r="177" spans="3:14">
      <c r="C177" s="234" t="s">
        <v>1435</v>
      </c>
      <c r="D177" s="13">
        <v>15.34</v>
      </c>
      <c r="E177" s="13">
        <v>4.84</v>
      </c>
      <c r="F177" s="13">
        <v>8.89</v>
      </c>
      <c r="G177" s="13">
        <v>10.86</v>
      </c>
      <c r="H177" s="13">
        <v>18.27</v>
      </c>
      <c r="I177" s="13">
        <v>20.57</v>
      </c>
      <c r="J177" s="13">
        <v>8.5299999999999994</v>
      </c>
      <c r="K177" s="13">
        <v>4.08</v>
      </c>
      <c r="L177" s="13">
        <v>5.34</v>
      </c>
      <c r="M177" s="13">
        <v>3.3</v>
      </c>
      <c r="N177" s="13">
        <v>100</v>
      </c>
    </row>
    <row r="178" spans="3:14">
      <c r="C178" s="216" t="s">
        <v>1434</v>
      </c>
    </row>
    <row r="183" spans="3:14">
      <c r="C183" s="496" t="s">
        <v>1439</v>
      </c>
      <c r="D183" s="496"/>
      <c r="E183" s="496"/>
      <c r="F183" s="496"/>
      <c r="G183" s="496"/>
      <c r="H183" s="496"/>
      <c r="I183" s="496"/>
      <c r="J183" s="496"/>
      <c r="K183" s="496"/>
      <c r="L183" s="496"/>
      <c r="M183" s="496"/>
      <c r="N183" s="496"/>
    </row>
    <row r="184" spans="3:14">
      <c r="C184" s="271"/>
      <c r="D184" s="268" t="s">
        <v>399</v>
      </c>
      <c r="E184" s="270" t="s">
        <v>402</v>
      </c>
      <c r="F184" s="270" t="s">
        <v>1425</v>
      </c>
      <c r="G184" s="268" t="s">
        <v>1426</v>
      </c>
      <c r="H184" s="268" t="s">
        <v>1427</v>
      </c>
      <c r="I184" s="268" t="s">
        <v>1428</v>
      </c>
      <c r="J184" s="268" t="s">
        <v>1429</v>
      </c>
      <c r="K184" s="268" t="s">
        <v>1430</v>
      </c>
      <c r="L184" s="268" t="s">
        <v>1431</v>
      </c>
      <c r="M184" s="268" t="s">
        <v>1432</v>
      </c>
      <c r="N184" s="268" t="s">
        <v>306</v>
      </c>
    </row>
    <row r="185" spans="3:14">
      <c r="C185" s="13" t="s">
        <v>1436</v>
      </c>
      <c r="D185" s="13">
        <v>58</v>
      </c>
      <c r="E185" s="13">
        <v>8</v>
      </c>
      <c r="F185" s="13">
        <v>25</v>
      </c>
      <c r="G185" s="13">
        <v>29</v>
      </c>
      <c r="H185" s="13">
        <v>39</v>
      </c>
      <c r="I185" s="13">
        <v>30</v>
      </c>
      <c r="J185" s="13">
        <v>12</v>
      </c>
      <c r="K185" s="13">
        <v>10</v>
      </c>
      <c r="L185" s="13">
        <v>14</v>
      </c>
      <c r="M185" s="13">
        <v>16</v>
      </c>
      <c r="N185" s="13">
        <v>241</v>
      </c>
    </row>
    <row r="186" spans="3:14">
      <c r="C186" s="234" t="s">
        <v>1435</v>
      </c>
      <c r="D186" s="13">
        <v>24.07</v>
      </c>
      <c r="E186" s="13">
        <v>3.32</v>
      </c>
      <c r="F186" s="13">
        <v>10.37</v>
      </c>
      <c r="G186" s="13">
        <v>12.03</v>
      </c>
      <c r="H186" s="13">
        <v>16.18</v>
      </c>
      <c r="I186" s="13">
        <v>12.45</v>
      </c>
      <c r="J186" s="13">
        <v>4.9800000000000004</v>
      </c>
      <c r="K186" s="13">
        <v>4.1500000000000004</v>
      </c>
      <c r="L186" s="13">
        <v>5.81</v>
      </c>
      <c r="M186" s="13">
        <v>6.64</v>
      </c>
      <c r="N186" s="13">
        <v>100</v>
      </c>
    </row>
    <row r="187" spans="3:14">
      <c r="C187" s="13" t="s">
        <v>1437</v>
      </c>
      <c r="D187" s="13">
        <v>98</v>
      </c>
      <c r="E187" s="13">
        <v>40</v>
      </c>
      <c r="F187" s="13">
        <v>81</v>
      </c>
      <c r="G187" s="13">
        <v>96</v>
      </c>
      <c r="H187" s="13">
        <v>159</v>
      </c>
      <c r="I187" s="13">
        <v>129</v>
      </c>
      <c r="J187" s="13">
        <v>32</v>
      </c>
      <c r="K187" s="13">
        <v>11</v>
      </c>
      <c r="L187" s="13">
        <v>15</v>
      </c>
      <c r="M187" s="13">
        <v>15</v>
      </c>
      <c r="N187" s="13">
        <v>676</v>
      </c>
    </row>
    <row r="188" spans="3:14">
      <c r="C188" s="234" t="s">
        <v>1435</v>
      </c>
      <c r="D188" s="13">
        <v>14.5</v>
      </c>
      <c r="E188" s="13">
        <v>5.92</v>
      </c>
      <c r="F188" s="13">
        <v>11.98</v>
      </c>
      <c r="G188" s="13">
        <v>14.2</v>
      </c>
      <c r="H188" s="13">
        <v>23.52</v>
      </c>
      <c r="I188" s="13">
        <v>19.079999999999998</v>
      </c>
      <c r="J188" s="13">
        <v>4.7300000000000004</v>
      </c>
      <c r="K188" s="13">
        <v>1.63</v>
      </c>
      <c r="L188" s="13">
        <v>2.2200000000000002</v>
      </c>
      <c r="M188" s="13">
        <v>2.2200000000000002</v>
      </c>
      <c r="N188" s="13">
        <v>100</v>
      </c>
    </row>
    <row r="189" spans="3:14">
      <c r="C189" s="13" t="s">
        <v>1438</v>
      </c>
      <c r="D189" s="13">
        <v>202</v>
      </c>
      <c r="E189" s="13">
        <v>65</v>
      </c>
      <c r="F189" s="13">
        <v>105</v>
      </c>
      <c r="G189" s="13">
        <v>140</v>
      </c>
      <c r="H189" s="13">
        <v>248</v>
      </c>
      <c r="I189" s="13">
        <v>359</v>
      </c>
      <c r="J189" s="13">
        <v>170</v>
      </c>
      <c r="K189" s="13">
        <v>85</v>
      </c>
      <c r="L189" s="13">
        <v>102</v>
      </c>
      <c r="M189" s="13">
        <v>45</v>
      </c>
      <c r="N189" s="13">
        <v>1521</v>
      </c>
    </row>
    <row r="190" spans="3:14">
      <c r="C190" s="234" t="s">
        <v>1435</v>
      </c>
      <c r="D190" s="13">
        <v>13.28</v>
      </c>
      <c r="E190" s="13">
        <v>4.2699999999999996</v>
      </c>
      <c r="F190" s="13">
        <v>6.9</v>
      </c>
      <c r="G190" s="13">
        <v>9.1999999999999993</v>
      </c>
      <c r="H190" s="13">
        <v>16.309999999999999</v>
      </c>
      <c r="I190" s="13">
        <v>23.6</v>
      </c>
      <c r="J190" s="13">
        <v>11.18</v>
      </c>
      <c r="K190" s="13">
        <v>5.59</v>
      </c>
      <c r="L190" s="13">
        <v>6.71</v>
      </c>
      <c r="M190" s="13">
        <v>2.96</v>
      </c>
      <c r="N190" s="13">
        <v>100</v>
      </c>
    </row>
    <row r="191" spans="3:14">
      <c r="C191" s="13" t="s">
        <v>32</v>
      </c>
      <c r="D191" s="13">
        <v>70</v>
      </c>
      <c r="E191" s="13">
        <v>22</v>
      </c>
      <c r="F191" s="13">
        <v>37</v>
      </c>
      <c r="G191" s="13">
        <v>38</v>
      </c>
      <c r="H191" s="13">
        <v>64</v>
      </c>
      <c r="I191" s="13">
        <v>56</v>
      </c>
      <c r="J191" s="13">
        <v>24</v>
      </c>
      <c r="K191" s="13">
        <v>8</v>
      </c>
      <c r="L191" s="13">
        <v>18</v>
      </c>
      <c r="M191" s="13">
        <v>16</v>
      </c>
      <c r="N191" s="13">
        <v>353</v>
      </c>
    </row>
    <row r="192" spans="3:14">
      <c r="C192" s="234" t="s">
        <v>1435</v>
      </c>
      <c r="D192" s="13">
        <v>19.829999999999998</v>
      </c>
      <c r="E192" s="13">
        <v>6.23</v>
      </c>
      <c r="F192" s="13">
        <v>10.48</v>
      </c>
      <c r="G192" s="13">
        <v>10.76</v>
      </c>
      <c r="H192" s="13">
        <v>18.13</v>
      </c>
      <c r="I192" s="13">
        <v>15.86</v>
      </c>
      <c r="J192" s="13">
        <v>6.8</v>
      </c>
      <c r="K192" s="13">
        <v>2.27</v>
      </c>
      <c r="L192" s="13">
        <v>5.0999999999999996</v>
      </c>
      <c r="M192" s="13">
        <v>4.53</v>
      </c>
      <c r="N192" s="13">
        <v>100</v>
      </c>
    </row>
    <row r="193" spans="3:19">
      <c r="C193" s="13" t="s">
        <v>306</v>
      </c>
      <c r="D193" s="13">
        <v>428</v>
      </c>
      <c r="E193" s="13">
        <v>135</v>
      </c>
      <c r="F193" s="13">
        <v>248</v>
      </c>
      <c r="G193" s="13">
        <v>303</v>
      </c>
      <c r="H193" s="13">
        <v>510</v>
      </c>
      <c r="I193" s="13">
        <v>574</v>
      </c>
      <c r="J193" s="13">
        <v>238</v>
      </c>
      <c r="K193" s="13">
        <v>114</v>
      </c>
      <c r="L193" s="13">
        <v>149</v>
      </c>
      <c r="M193" s="13">
        <v>92</v>
      </c>
      <c r="N193" s="13">
        <v>2791</v>
      </c>
    </row>
    <row r="194" spans="3:19">
      <c r="C194" s="234" t="s">
        <v>1435</v>
      </c>
      <c r="D194" s="13">
        <v>15.34</v>
      </c>
      <c r="E194" s="13">
        <v>4.84</v>
      </c>
      <c r="F194" s="13">
        <v>8.89</v>
      </c>
      <c r="G194" s="13">
        <v>10.86</v>
      </c>
      <c r="H194" s="13">
        <v>18.27</v>
      </c>
      <c r="I194" s="13">
        <v>20.57</v>
      </c>
      <c r="J194" s="13">
        <v>8.5299999999999994</v>
      </c>
      <c r="K194" s="13">
        <v>4.08</v>
      </c>
      <c r="L194" s="13">
        <v>5.34</v>
      </c>
      <c r="M194" s="13">
        <v>3.3</v>
      </c>
      <c r="N194" s="13">
        <v>100</v>
      </c>
    </row>
    <row r="195" spans="3:19">
      <c r="C195" s="216" t="s">
        <v>1434</v>
      </c>
    </row>
    <row r="198" spans="3:19">
      <c r="C198" s="497" t="s">
        <v>1455</v>
      </c>
      <c r="D198" s="498"/>
      <c r="E198" s="498"/>
      <c r="F198" s="498"/>
      <c r="G198" s="498"/>
      <c r="H198" s="498"/>
      <c r="I198" s="498"/>
      <c r="J198" s="498"/>
      <c r="K198" s="498"/>
      <c r="L198" s="498"/>
      <c r="M198" s="498"/>
      <c r="N198" s="498"/>
      <c r="O198" s="498"/>
      <c r="P198" s="498"/>
      <c r="Q198" s="498"/>
      <c r="R198" s="498"/>
      <c r="S198" s="499"/>
    </row>
    <row r="199" spans="3:19" ht="78.75">
      <c r="C199" s="16"/>
      <c r="D199" s="272" t="s">
        <v>1440</v>
      </c>
      <c r="E199" s="272" t="s">
        <v>1441</v>
      </c>
      <c r="F199" s="272" t="s">
        <v>1442</v>
      </c>
      <c r="G199" s="272" t="s">
        <v>1443</v>
      </c>
      <c r="H199" s="272" t="s">
        <v>1444</v>
      </c>
      <c r="I199" s="272" t="s">
        <v>1445</v>
      </c>
      <c r="J199" s="272" t="s">
        <v>1446</v>
      </c>
      <c r="K199" s="272" t="s">
        <v>1447</v>
      </c>
      <c r="L199" s="272" t="s">
        <v>1448</v>
      </c>
      <c r="M199" s="272" t="s">
        <v>1449</v>
      </c>
      <c r="N199" s="272" t="s">
        <v>1450</v>
      </c>
      <c r="O199" s="272" t="s">
        <v>1451</v>
      </c>
      <c r="P199" s="272" t="s">
        <v>1452</v>
      </c>
      <c r="Q199" s="272" t="s">
        <v>1453</v>
      </c>
      <c r="R199" s="272" t="s">
        <v>1454</v>
      </c>
      <c r="S199" s="272" t="s">
        <v>306</v>
      </c>
    </row>
    <row r="200" spans="3:19" ht="15.75">
      <c r="C200" s="13"/>
      <c r="D200" s="273"/>
      <c r="E200" s="273"/>
      <c r="F200" s="273"/>
      <c r="G200" s="273"/>
      <c r="H200" s="273"/>
      <c r="I200" s="273"/>
      <c r="J200" s="273"/>
      <c r="K200" s="273"/>
      <c r="L200" s="273"/>
      <c r="M200" s="273"/>
      <c r="N200" s="273"/>
      <c r="O200" s="273"/>
      <c r="P200" s="273"/>
      <c r="Q200" s="273"/>
      <c r="R200" s="273"/>
      <c r="S200" s="273">
        <v>1221</v>
      </c>
    </row>
    <row r="201" spans="3:19" ht="15.75">
      <c r="C201" s="274" t="s">
        <v>1435</v>
      </c>
      <c r="D201" s="275">
        <v>2.7</v>
      </c>
      <c r="E201" s="275">
        <v>4.91</v>
      </c>
      <c r="F201" s="275">
        <v>5.98</v>
      </c>
      <c r="G201" s="275">
        <v>12.78</v>
      </c>
      <c r="H201" s="275">
        <v>15.23</v>
      </c>
      <c r="I201" s="275">
        <v>13.76</v>
      </c>
      <c r="J201" s="275">
        <v>10.4</v>
      </c>
      <c r="K201" s="275">
        <v>6.63</v>
      </c>
      <c r="L201" s="275">
        <v>5.98</v>
      </c>
      <c r="M201" s="275">
        <v>4.26</v>
      </c>
      <c r="N201" s="275">
        <v>3.52</v>
      </c>
      <c r="O201" s="275">
        <v>3.19</v>
      </c>
      <c r="P201" s="275">
        <v>2.21</v>
      </c>
      <c r="Q201" s="275">
        <v>2.7</v>
      </c>
      <c r="R201" s="275">
        <v>5.73</v>
      </c>
      <c r="S201" s="273">
        <v>100</v>
      </c>
    </row>
    <row r="202" spans="3:19">
      <c r="C202" s="216" t="s">
        <v>1456</v>
      </c>
    </row>
  </sheetData>
  <mergeCells count="50">
    <mergeCell ref="G93:I93"/>
    <mergeCell ref="C115:H115"/>
    <mergeCell ref="P66:R66"/>
    <mergeCell ref="C144:G144"/>
    <mergeCell ref="C142:G142"/>
    <mergeCell ref="J92:L92"/>
    <mergeCell ref="M92:O92"/>
    <mergeCell ref="P92:R92"/>
    <mergeCell ref="C151:F151"/>
    <mergeCell ref="C113:F113"/>
    <mergeCell ref="C12:C18"/>
    <mergeCell ref="C19:C25"/>
    <mergeCell ref="C26:C32"/>
    <mergeCell ref="C33:C39"/>
    <mergeCell ref="C40:C46"/>
    <mergeCell ref="C47:C53"/>
    <mergeCell ref="C54:C60"/>
    <mergeCell ref="C93:C94"/>
    <mergeCell ref="D93:F93"/>
    <mergeCell ref="C86:F86"/>
    <mergeCell ref="C3:I3"/>
    <mergeCell ref="C2:I2"/>
    <mergeCell ref="C9:G9"/>
    <mergeCell ref="E10:G10"/>
    <mergeCell ref="M66:O66"/>
    <mergeCell ref="C65:R65"/>
    <mergeCell ref="C5:I5"/>
    <mergeCell ref="C61:G61"/>
    <mergeCell ref="C66:C67"/>
    <mergeCell ref="D66:F66"/>
    <mergeCell ref="G66:I66"/>
    <mergeCell ref="J66:L66"/>
    <mergeCell ref="C4:I4"/>
    <mergeCell ref="C7:G7"/>
    <mergeCell ref="C170:N170"/>
    <mergeCell ref="C183:N183"/>
    <mergeCell ref="C198:S198"/>
    <mergeCell ref="X66:Z66"/>
    <mergeCell ref="T66:T67"/>
    <mergeCell ref="X92:Z92"/>
    <mergeCell ref="U92:W92"/>
    <mergeCell ref="U93:W93"/>
    <mergeCell ref="X93:Z93"/>
    <mergeCell ref="T93:T94"/>
    <mergeCell ref="U66:W66"/>
    <mergeCell ref="J93:L93"/>
    <mergeCell ref="M93:O93"/>
    <mergeCell ref="P93:R93"/>
    <mergeCell ref="D92:F92"/>
    <mergeCell ref="G92:I92"/>
  </mergeCells>
  <hyperlinks>
    <hyperlink ref="U115" r:id="rId1" xr:uid="{59253ED6-4945-4D58-901C-49B7566EF29B}"/>
    <hyperlink ref="U88" r:id="rId2" xr:uid="{37C584AC-0B33-4F15-B3F1-D4C40DB9BD09}"/>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X155"/>
  <sheetViews>
    <sheetView zoomScale="80" zoomScaleNormal="80" workbookViewId="0">
      <selection activeCell="B86" sqref="B86:I86"/>
    </sheetView>
  </sheetViews>
  <sheetFormatPr defaultRowHeight="15"/>
  <cols>
    <col min="1" max="1" width="9.140625" style="70"/>
    <col min="2" max="2" width="34.28515625" style="70" customWidth="1"/>
    <col min="3" max="5" width="13.85546875" style="70" customWidth="1"/>
    <col min="6" max="6" width="16.85546875" style="70" customWidth="1"/>
    <col min="7" max="7" width="18.140625" style="70" customWidth="1"/>
    <col min="8" max="8" width="17.42578125" style="70" customWidth="1"/>
    <col min="9" max="9" width="9.140625" style="70"/>
    <col min="10" max="10" width="18.140625" style="70" customWidth="1"/>
    <col min="11" max="16384" width="9.140625" style="70"/>
  </cols>
  <sheetData>
    <row r="2" spans="2:24" ht="22.5" customHeight="1">
      <c r="B2" s="481" t="s">
        <v>93</v>
      </c>
      <c r="C2" s="481"/>
      <c r="D2" s="481"/>
      <c r="E2" s="481"/>
      <c r="F2" s="481"/>
      <c r="G2" s="481"/>
      <c r="H2" s="481"/>
      <c r="I2" s="481"/>
      <c r="J2" s="481"/>
    </row>
    <row r="3" spans="2:24">
      <c r="B3" s="549" t="s">
        <v>95</v>
      </c>
      <c r="C3" s="549"/>
      <c r="D3" s="549"/>
      <c r="E3" s="549"/>
      <c r="F3" s="549"/>
      <c r="G3" s="549"/>
      <c r="H3" s="549"/>
      <c r="I3" s="549"/>
      <c r="J3" s="549"/>
    </row>
    <row r="4" spans="2:24">
      <c r="B4" s="550" t="s">
        <v>298</v>
      </c>
      <c r="C4" s="550"/>
      <c r="D4" s="550"/>
      <c r="E4" s="550"/>
      <c r="F4" s="550"/>
      <c r="G4" s="550"/>
      <c r="H4" s="550"/>
      <c r="I4" s="550"/>
      <c r="J4" s="550"/>
    </row>
    <row r="5" spans="2:24" ht="197.25" customHeight="1">
      <c r="B5" s="482" t="s">
        <v>444</v>
      </c>
      <c r="C5" s="482"/>
      <c r="D5" s="482"/>
      <c r="E5" s="482"/>
      <c r="F5" s="482"/>
      <c r="G5" s="482"/>
      <c r="H5" s="482"/>
      <c r="I5" s="482"/>
      <c r="J5" s="482"/>
    </row>
    <row r="6" spans="2:24" ht="15.75" customHeight="1">
      <c r="B6" s="86"/>
      <c r="C6" s="86"/>
      <c r="D6" s="86"/>
      <c r="E6" s="86"/>
      <c r="F6" s="86"/>
      <c r="G6" s="86"/>
    </row>
    <row r="7" spans="2:24" ht="15.75" customHeight="1">
      <c r="B7" s="552" t="s">
        <v>445</v>
      </c>
      <c r="C7" s="552"/>
      <c r="D7" s="552"/>
      <c r="E7" s="552"/>
      <c r="F7" s="86"/>
      <c r="G7" s="86"/>
    </row>
    <row r="8" spans="2:24" ht="15.75" customHeight="1">
      <c r="B8" s="86"/>
      <c r="C8" s="86"/>
      <c r="D8" s="86"/>
      <c r="E8" s="86"/>
      <c r="F8" s="86"/>
      <c r="G8" s="86"/>
    </row>
    <row r="9" spans="2:24" ht="15.75" customHeight="1">
      <c r="B9" s="553" t="s">
        <v>446</v>
      </c>
      <c r="C9" s="554"/>
      <c r="D9" s="554"/>
      <c r="E9" s="554"/>
      <c r="F9" s="554"/>
      <c r="G9" s="554"/>
      <c r="H9" s="554"/>
      <c r="I9" s="554"/>
      <c r="J9" s="555"/>
      <c r="L9" s="535" t="s">
        <v>447</v>
      </c>
      <c r="M9" s="536"/>
      <c r="N9" s="536"/>
      <c r="O9" s="536"/>
      <c r="P9" s="536"/>
      <c r="Q9" s="536"/>
      <c r="R9" s="536"/>
      <c r="S9" s="536"/>
      <c r="T9" s="536"/>
      <c r="U9" s="536"/>
      <c r="V9" s="536"/>
      <c r="W9" s="536"/>
      <c r="X9" s="537"/>
    </row>
    <row r="10" spans="2:24" ht="15.75" customHeight="1">
      <c r="B10" s="557" t="s">
        <v>448</v>
      </c>
      <c r="C10" s="277">
        <v>2004</v>
      </c>
      <c r="D10" s="277"/>
      <c r="E10" s="277"/>
      <c r="F10" s="278"/>
      <c r="G10" s="277">
        <v>2012</v>
      </c>
      <c r="H10" s="277"/>
      <c r="I10" s="277"/>
      <c r="J10" s="277"/>
      <c r="L10" s="561" t="s">
        <v>448</v>
      </c>
      <c r="M10" s="563" t="s">
        <v>449</v>
      </c>
      <c r="N10" s="564"/>
      <c r="O10" s="565"/>
      <c r="P10" s="563" t="s">
        <v>450</v>
      </c>
      <c r="Q10" s="564"/>
      <c r="R10" s="564"/>
      <c r="S10" s="544" t="s">
        <v>451</v>
      </c>
      <c r="T10" s="545"/>
      <c r="U10" s="560"/>
      <c r="V10" s="544" t="s">
        <v>452</v>
      </c>
      <c r="W10" s="545"/>
      <c r="X10" s="545"/>
    </row>
    <row r="11" spans="2:24" ht="18" customHeight="1">
      <c r="B11" s="558"/>
      <c r="C11" s="279" t="s">
        <v>449</v>
      </c>
      <c r="D11" s="279" t="s">
        <v>450</v>
      </c>
      <c r="E11" s="279" t="s">
        <v>306</v>
      </c>
      <c r="F11" s="279" t="s">
        <v>452</v>
      </c>
      <c r="G11" s="279" t="s">
        <v>449</v>
      </c>
      <c r="H11" s="279" t="s">
        <v>450</v>
      </c>
      <c r="I11" s="279" t="s">
        <v>306</v>
      </c>
      <c r="J11" s="279" t="s">
        <v>452</v>
      </c>
      <c r="L11" s="562"/>
      <c r="M11" s="280" t="s">
        <v>453</v>
      </c>
      <c r="N11" s="280" t="s">
        <v>305</v>
      </c>
      <c r="O11" s="280" t="s">
        <v>306</v>
      </c>
      <c r="P11" s="280" t="s">
        <v>453</v>
      </c>
      <c r="Q11" s="280" t="s">
        <v>305</v>
      </c>
      <c r="R11" s="280" t="s">
        <v>306</v>
      </c>
      <c r="S11" s="280" t="s">
        <v>453</v>
      </c>
      <c r="T11" s="280" t="s">
        <v>305</v>
      </c>
      <c r="U11" s="280" t="s">
        <v>306</v>
      </c>
      <c r="V11" s="280" t="s">
        <v>453</v>
      </c>
      <c r="W11" s="280" t="s">
        <v>305</v>
      </c>
      <c r="X11" s="280" t="s">
        <v>306</v>
      </c>
    </row>
    <row r="12" spans="2:24" ht="15.75" customHeight="1">
      <c r="B12" s="258" t="s">
        <v>454</v>
      </c>
      <c r="C12" s="281">
        <v>6234</v>
      </c>
      <c r="D12" s="281">
        <v>2276</v>
      </c>
      <c r="E12" s="281">
        <v>8510</v>
      </c>
      <c r="F12" s="282">
        <f>D12/E12*100</f>
        <v>26.745005875440658</v>
      </c>
      <c r="G12" s="281">
        <v>4279</v>
      </c>
      <c r="H12" s="281">
        <v>2197</v>
      </c>
      <c r="I12" s="283">
        <v>6476</v>
      </c>
      <c r="J12" s="284">
        <f>H12/I12*100</f>
        <v>33.925262507720817</v>
      </c>
      <c r="L12" s="258" t="s">
        <v>454</v>
      </c>
      <c r="M12" s="281">
        <v>3486</v>
      </c>
      <c r="N12" s="281">
        <v>793</v>
      </c>
      <c r="O12" s="281">
        <v>4279</v>
      </c>
      <c r="P12" s="281">
        <v>1147</v>
      </c>
      <c r="Q12" s="281">
        <v>1050</v>
      </c>
      <c r="R12" s="281">
        <v>2197</v>
      </c>
      <c r="S12" s="21">
        <f>M12+P12</f>
        <v>4633</v>
      </c>
      <c r="T12" s="21">
        <f t="shared" ref="T12:U12" si="0">N12+Q12</f>
        <v>1843</v>
      </c>
      <c r="U12" s="21">
        <f t="shared" si="0"/>
        <v>6476</v>
      </c>
      <c r="V12" s="285">
        <f>P12/S12*100</f>
        <v>24.757176775307578</v>
      </c>
      <c r="W12" s="285">
        <f t="shared" ref="W12:X12" si="1">Q12/T12*100</f>
        <v>56.972327726532825</v>
      </c>
      <c r="X12" s="285">
        <f t="shared" si="1"/>
        <v>33.925262507720817</v>
      </c>
    </row>
    <row r="13" spans="2:24" ht="15.75" customHeight="1">
      <c r="B13" s="258" t="s">
        <v>455</v>
      </c>
      <c r="C13" s="281">
        <v>16514</v>
      </c>
      <c r="D13" s="281">
        <v>3956</v>
      </c>
      <c r="E13" s="281">
        <v>20470</v>
      </c>
      <c r="F13" s="282">
        <f t="shared" ref="F13:F22" si="2">D13/E13*100</f>
        <v>19.325842696629213</v>
      </c>
      <c r="G13" s="281">
        <v>17920</v>
      </c>
      <c r="H13" s="281">
        <v>4756</v>
      </c>
      <c r="I13" s="283">
        <v>22676</v>
      </c>
      <c r="J13" s="284">
        <f t="shared" ref="J13:J22" si="3">H13/I13*100</f>
        <v>20.973716704886222</v>
      </c>
      <c r="L13" s="258" t="s">
        <v>455</v>
      </c>
      <c r="M13" s="281">
        <v>12667</v>
      </c>
      <c r="N13" s="281">
        <v>5253</v>
      </c>
      <c r="O13" s="281">
        <v>17920</v>
      </c>
      <c r="P13" s="281">
        <v>1820</v>
      </c>
      <c r="Q13" s="281">
        <v>2936</v>
      </c>
      <c r="R13" s="281">
        <v>4756</v>
      </c>
      <c r="S13" s="21">
        <f t="shared" ref="S13:S22" si="4">M13+P13</f>
        <v>14487</v>
      </c>
      <c r="T13" s="21">
        <f t="shared" ref="T13:T22" si="5">N13+Q13</f>
        <v>8189</v>
      </c>
      <c r="U13" s="21">
        <f t="shared" ref="U13:U22" si="6">O13+R13</f>
        <v>22676</v>
      </c>
      <c r="V13" s="285">
        <f t="shared" ref="V13:V22" si="7">P13/S13*100</f>
        <v>12.562987506039896</v>
      </c>
      <c r="W13" s="285">
        <f t="shared" ref="W13:W22" si="8">Q13/T13*100</f>
        <v>35.85297350103798</v>
      </c>
      <c r="X13" s="285">
        <f t="shared" ref="X13:X22" si="9">R13/U13*100</f>
        <v>20.973716704886222</v>
      </c>
    </row>
    <row r="14" spans="2:24" ht="15.75" customHeight="1">
      <c r="B14" s="258" t="s">
        <v>456</v>
      </c>
      <c r="C14" s="281">
        <v>20685</v>
      </c>
      <c r="D14" s="281">
        <v>2880</v>
      </c>
      <c r="E14" s="281">
        <v>23565</v>
      </c>
      <c r="F14" s="282">
        <f t="shared" si="2"/>
        <v>12.221514958625079</v>
      </c>
      <c r="G14" s="281">
        <v>27567</v>
      </c>
      <c r="H14" s="281">
        <v>4047</v>
      </c>
      <c r="I14" s="283">
        <v>31614</v>
      </c>
      <c r="J14" s="284">
        <f t="shared" si="3"/>
        <v>12.801290567470108</v>
      </c>
      <c r="L14" s="258" t="s">
        <v>456</v>
      </c>
      <c r="M14" s="281">
        <v>17396</v>
      </c>
      <c r="N14" s="281">
        <v>10171</v>
      </c>
      <c r="O14" s="281">
        <v>27567</v>
      </c>
      <c r="P14" s="281">
        <v>1348</v>
      </c>
      <c r="Q14" s="281">
        <v>2699</v>
      </c>
      <c r="R14" s="281">
        <v>4047</v>
      </c>
      <c r="S14" s="21">
        <f t="shared" si="4"/>
        <v>18744</v>
      </c>
      <c r="T14" s="21">
        <f t="shared" si="5"/>
        <v>12870</v>
      </c>
      <c r="U14" s="21">
        <f t="shared" si="6"/>
        <v>31614</v>
      </c>
      <c r="V14" s="285">
        <f t="shared" si="7"/>
        <v>7.1916346564233891</v>
      </c>
      <c r="W14" s="285">
        <f t="shared" si="8"/>
        <v>20.971250971250971</v>
      </c>
      <c r="X14" s="285">
        <f t="shared" si="9"/>
        <v>12.801290567470108</v>
      </c>
    </row>
    <row r="15" spans="2:24" ht="15.75" customHeight="1">
      <c r="B15" s="258" t="s">
        <v>457</v>
      </c>
      <c r="C15" s="281">
        <v>25247</v>
      </c>
      <c r="D15" s="281">
        <v>2298</v>
      </c>
      <c r="E15" s="281">
        <v>27545</v>
      </c>
      <c r="F15" s="282">
        <f t="shared" si="2"/>
        <v>8.3427119259393727</v>
      </c>
      <c r="G15" s="281">
        <v>26576</v>
      </c>
      <c r="H15" s="281">
        <v>2905</v>
      </c>
      <c r="I15" s="283">
        <v>29481</v>
      </c>
      <c r="J15" s="284">
        <f t="shared" si="3"/>
        <v>9.8538041450425702</v>
      </c>
      <c r="L15" s="258" t="s">
        <v>457</v>
      </c>
      <c r="M15" s="281">
        <v>16333</v>
      </c>
      <c r="N15" s="281">
        <v>10243</v>
      </c>
      <c r="O15" s="281">
        <v>26576</v>
      </c>
      <c r="P15" s="281">
        <v>921</v>
      </c>
      <c r="Q15" s="281">
        <v>1984</v>
      </c>
      <c r="R15" s="281">
        <v>2905</v>
      </c>
      <c r="S15" s="21">
        <f t="shared" si="4"/>
        <v>17254</v>
      </c>
      <c r="T15" s="21">
        <f t="shared" si="5"/>
        <v>12227</v>
      </c>
      <c r="U15" s="21">
        <f t="shared" si="6"/>
        <v>29481</v>
      </c>
      <c r="V15" s="285">
        <f t="shared" si="7"/>
        <v>5.3378926625709973</v>
      </c>
      <c r="W15" s="285">
        <f t="shared" si="8"/>
        <v>16.22638423161855</v>
      </c>
      <c r="X15" s="285">
        <f t="shared" si="9"/>
        <v>9.8538041450425702</v>
      </c>
    </row>
    <row r="16" spans="2:24" ht="15.75" customHeight="1">
      <c r="B16" s="258" t="s">
        <v>458</v>
      </c>
      <c r="C16" s="281">
        <v>25178</v>
      </c>
      <c r="D16" s="281">
        <v>1814</v>
      </c>
      <c r="E16" s="281">
        <v>26992</v>
      </c>
      <c r="F16" s="282">
        <f t="shared" si="2"/>
        <v>6.7205097806757559</v>
      </c>
      <c r="G16" s="281">
        <v>25142</v>
      </c>
      <c r="H16" s="281">
        <v>2276</v>
      </c>
      <c r="I16" s="283">
        <v>27418</v>
      </c>
      <c r="J16" s="284">
        <f t="shared" si="3"/>
        <v>8.3011160551462542</v>
      </c>
      <c r="L16" s="258" t="s">
        <v>458</v>
      </c>
      <c r="M16" s="281">
        <v>15562</v>
      </c>
      <c r="N16" s="281">
        <v>9580</v>
      </c>
      <c r="O16" s="281">
        <v>25142</v>
      </c>
      <c r="P16" s="281">
        <v>814</v>
      </c>
      <c r="Q16" s="281">
        <v>1462</v>
      </c>
      <c r="R16" s="281">
        <v>2276</v>
      </c>
      <c r="S16" s="21">
        <f t="shared" si="4"/>
        <v>16376</v>
      </c>
      <c r="T16" s="21">
        <f t="shared" si="5"/>
        <v>11042</v>
      </c>
      <c r="U16" s="21">
        <f t="shared" si="6"/>
        <v>27418</v>
      </c>
      <c r="V16" s="285">
        <f t="shared" si="7"/>
        <v>4.9706888128969222</v>
      </c>
      <c r="W16" s="285">
        <f t="shared" si="8"/>
        <v>13.240355008150697</v>
      </c>
      <c r="X16" s="285">
        <f t="shared" si="9"/>
        <v>8.3011160551462542</v>
      </c>
    </row>
    <row r="17" spans="2:24" ht="15.75" customHeight="1">
      <c r="B17" s="258" t="s">
        <v>459</v>
      </c>
      <c r="C17" s="281">
        <v>23338</v>
      </c>
      <c r="D17" s="281">
        <v>1423</v>
      </c>
      <c r="E17" s="281">
        <v>24761</v>
      </c>
      <c r="F17" s="282">
        <f t="shared" si="2"/>
        <v>5.7469407536044583</v>
      </c>
      <c r="G17" s="281">
        <v>26083</v>
      </c>
      <c r="H17" s="281">
        <v>1966</v>
      </c>
      <c r="I17" s="283">
        <v>28049</v>
      </c>
      <c r="J17" s="284">
        <f t="shared" si="3"/>
        <v>7.0091625369888417</v>
      </c>
      <c r="L17" s="258" t="s">
        <v>459</v>
      </c>
      <c r="M17" s="281">
        <v>15951</v>
      </c>
      <c r="N17" s="281">
        <v>10132</v>
      </c>
      <c r="O17" s="281">
        <v>26083</v>
      </c>
      <c r="P17" s="281">
        <v>821</v>
      </c>
      <c r="Q17" s="281">
        <v>1145</v>
      </c>
      <c r="R17" s="281">
        <v>1966</v>
      </c>
      <c r="S17" s="21">
        <f t="shared" si="4"/>
        <v>16772</v>
      </c>
      <c r="T17" s="21">
        <f t="shared" si="5"/>
        <v>11277</v>
      </c>
      <c r="U17" s="21">
        <f t="shared" si="6"/>
        <v>28049</v>
      </c>
      <c r="V17" s="285">
        <f t="shared" si="7"/>
        <v>4.8950632005723822</v>
      </c>
      <c r="W17" s="285">
        <f t="shared" si="8"/>
        <v>10.153409594750377</v>
      </c>
      <c r="X17" s="285">
        <f t="shared" si="9"/>
        <v>7.0091625369888417</v>
      </c>
    </row>
    <row r="18" spans="2:24" ht="15.75" customHeight="1">
      <c r="B18" s="258" t="s">
        <v>460</v>
      </c>
      <c r="C18" s="281">
        <v>17057</v>
      </c>
      <c r="D18" s="281">
        <v>846</v>
      </c>
      <c r="E18" s="281">
        <v>17903</v>
      </c>
      <c r="F18" s="282">
        <f t="shared" si="2"/>
        <v>4.7254650058649386</v>
      </c>
      <c r="G18" s="281">
        <v>24718</v>
      </c>
      <c r="H18" s="281">
        <v>1597</v>
      </c>
      <c r="I18" s="283">
        <v>26315</v>
      </c>
      <c r="J18" s="284">
        <f t="shared" si="3"/>
        <v>6.0687820634619039</v>
      </c>
      <c r="L18" s="258" t="s">
        <v>460</v>
      </c>
      <c r="M18" s="281">
        <v>15128</v>
      </c>
      <c r="N18" s="281">
        <v>9590</v>
      </c>
      <c r="O18" s="281">
        <v>24718</v>
      </c>
      <c r="P18" s="281">
        <v>713</v>
      </c>
      <c r="Q18" s="281">
        <v>884</v>
      </c>
      <c r="R18" s="281">
        <v>1597</v>
      </c>
      <c r="S18" s="21">
        <f t="shared" si="4"/>
        <v>15841</v>
      </c>
      <c r="T18" s="21">
        <f t="shared" si="5"/>
        <v>10474</v>
      </c>
      <c r="U18" s="21">
        <f t="shared" si="6"/>
        <v>26315</v>
      </c>
      <c r="V18" s="285">
        <f t="shared" si="7"/>
        <v>4.5009784735812133</v>
      </c>
      <c r="W18" s="285">
        <f t="shared" si="8"/>
        <v>8.4399465342753484</v>
      </c>
      <c r="X18" s="285">
        <f t="shared" si="9"/>
        <v>6.0687820634619039</v>
      </c>
    </row>
    <row r="19" spans="2:24" ht="15.75" customHeight="1">
      <c r="B19" s="258" t="s">
        <v>461</v>
      </c>
      <c r="C19" s="281">
        <v>12726</v>
      </c>
      <c r="D19" s="281">
        <v>517</v>
      </c>
      <c r="E19" s="281">
        <v>13243</v>
      </c>
      <c r="F19" s="282">
        <f t="shared" si="2"/>
        <v>3.9039492562108284</v>
      </c>
      <c r="G19" s="281">
        <v>20119</v>
      </c>
      <c r="H19" s="281">
        <v>1044</v>
      </c>
      <c r="I19" s="283">
        <v>21163</v>
      </c>
      <c r="J19" s="284">
        <f t="shared" si="3"/>
        <v>4.9331380239096534</v>
      </c>
      <c r="L19" s="258" t="s">
        <v>461</v>
      </c>
      <c r="M19" s="281">
        <v>12353</v>
      </c>
      <c r="N19" s="281">
        <v>7766</v>
      </c>
      <c r="O19" s="281">
        <v>20119</v>
      </c>
      <c r="P19" s="281">
        <v>513</v>
      </c>
      <c r="Q19" s="281">
        <v>531</v>
      </c>
      <c r="R19" s="281">
        <v>1044</v>
      </c>
      <c r="S19" s="21">
        <f t="shared" si="4"/>
        <v>12866</v>
      </c>
      <c r="T19" s="21">
        <f t="shared" si="5"/>
        <v>8297</v>
      </c>
      <c r="U19" s="21">
        <f t="shared" si="6"/>
        <v>21163</v>
      </c>
      <c r="V19" s="285">
        <f t="shared" si="7"/>
        <v>3.9872532255557287</v>
      </c>
      <c r="W19" s="285">
        <f t="shared" si="8"/>
        <v>6.3999035796070869</v>
      </c>
      <c r="X19" s="285">
        <f t="shared" si="9"/>
        <v>4.9331380239096534</v>
      </c>
    </row>
    <row r="20" spans="2:24" ht="15.75" customHeight="1">
      <c r="B20" s="258" t="s">
        <v>462</v>
      </c>
      <c r="C20" s="281">
        <v>7791</v>
      </c>
      <c r="D20" s="281">
        <v>268</v>
      </c>
      <c r="E20" s="281">
        <v>8059</v>
      </c>
      <c r="F20" s="282">
        <f t="shared" si="2"/>
        <v>3.3254746246432556</v>
      </c>
      <c r="G20" s="281">
        <v>12725</v>
      </c>
      <c r="H20" s="281">
        <v>589</v>
      </c>
      <c r="I20" s="283">
        <v>13314</v>
      </c>
      <c r="J20" s="284">
        <f t="shared" si="3"/>
        <v>4.4239146762806065</v>
      </c>
      <c r="L20" s="258" t="s">
        <v>462</v>
      </c>
      <c r="M20" s="281">
        <v>7750</v>
      </c>
      <c r="N20" s="281">
        <v>4975</v>
      </c>
      <c r="O20" s="281">
        <v>12725</v>
      </c>
      <c r="P20" s="281">
        <v>343</v>
      </c>
      <c r="Q20" s="281">
        <v>246</v>
      </c>
      <c r="R20" s="281">
        <v>589</v>
      </c>
      <c r="S20" s="21">
        <f t="shared" si="4"/>
        <v>8093</v>
      </c>
      <c r="T20" s="21">
        <f t="shared" si="5"/>
        <v>5221</v>
      </c>
      <c r="U20" s="21">
        <f t="shared" si="6"/>
        <v>13314</v>
      </c>
      <c r="V20" s="285">
        <f t="shared" si="7"/>
        <v>4.2382305696280733</v>
      </c>
      <c r="W20" s="285">
        <f t="shared" si="8"/>
        <v>4.7117410457766713</v>
      </c>
      <c r="X20" s="285">
        <f t="shared" si="9"/>
        <v>4.4239146762806065</v>
      </c>
    </row>
    <row r="21" spans="2:24" ht="15.75" customHeight="1">
      <c r="B21" s="258" t="s">
        <v>463</v>
      </c>
      <c r="C21" s="281">
        <v>1935</v>
      </c>
      <c r="D21" s="281">
        <v>147</v>
      </c>
      <c r="E21" s="281">
        <v>2082</v>
      </c>
      <c r="F21" s="282">
        <f t="shared" si="2"/>
        <v>7.0605187319884726</v>
      </c>
      <c r="G21" s="281">
        <v>3100</v>
      </c>
      <c r="H21" s="281">
        <v>135</v>
      </c>
      <c r="I21" s="283">
        <v>3235</v>
      </c>
      <c r="J21" s="284">
        <f t="shared" si="3"/>
        <v>4.1731066460587325</v>
      </c>
      <c r="L21" s="258" t="s">
        <v>463</v>
      </c>
      <c r="M21" s="281">
        <v>2119</v>
      </c>
      <c r="N21" s="281">
        <v>981</v>
      </c>
      <c r="O21" s="281">
        <v>3100</v>
      </c>
      <c r="P21" s="281">
        <v>86</v>
      </c>
      <c r="Q21" s="281">
        <v>49</v>
      </c>
      <c r="R21" s="281">
        <v>135</v>
      </c>
      <c r="S21" s="21">
        <f t="shared" si="4"/>
        <v>2205</v>
      </c>
      <c r="T21" s="21">
        <f t="shared" si="5"/>
        <v>1030</v>
      </c>
      <c r="U21" s="21">
        <f t="shared" si="6"/>
        <v>3235</v>
      </c>
      <c r="V21" s="285">
        <f t="shared" si="7"/>
        <v>3.9002267573696145</v>
      </c>
      <c r="W21" s="285">
        <f t="shared" si="8"/>
        <v>4.7572815533980579</v>
      </c>
      <c r="X21" s="285">
        <f t="shared" si="9"/>
        <v>4.1731066460587325</v>
      </c>
    </row>
    <row r="22" spans="2:24" ht="15.75" customHeight="1">
      <c r="B22" s="258" t="s">
        <v>306</v>
      </c>
      <c r="C22" s="281">
        <v>156705</v>
      </c>
      <c r="D22" s="281">
        <v>16425</v>
      </c>
      <c r="E22" s="281">
        <v>173130</v>
      </c>
      <c r="F22" s="282">
        <f t="shared" si="2"/>
        <v>9.4870906255414997</v>
      </c>
      <c r="G22" s="281">
        <v>188229</v>
      </c>
      <c r="H22" s="281">
        <v>21512</v>
      </c>
      <c r="I22" s="283">
        <v>209741</v>
      </c>
      <c r="J22" s="284">
        <f t="shared" si="3"/>
        <v>10.256459156769541</v>
      </c>
      <c r="L22" s="258" t="s">
        <v>306</v>
      </c>
      <c r="M22" s="281">
        <v>118745</v>
      </c>
      <c r="N22" s="281">
        <v>69484</v>
      </c>
      <c r="O22" s="281">
        <v>188229</v>
      </c>
      <c r="P22" s="281">
        <v>8526</v>
      </c>
      <c r="Q22" s="281">
        <v>12986</v>
      </c>
      <c r="R22" s="281">
        <v>21512</v>
      </c>
      <c r="S22" s="21">
        <f t="shared" si="4"/>
        <v>127271</v>
      </c>
      <c r="T22" s="21">
        <f t="shared" si="5"/>
        <v>82470</v>
      </c>
      <c r="U22" s="21">
        <f t="shared" si="6"/>
        <v>209741</v>
      </c>
      <c r="V22" s="285">
        <f t="shared" si="7"/>
        <v>6.699090916233863</v>
      </c>
      <c r="W22" s="285">
        <f t="shared" si="8"/>
        <v>15.746331999514975</v>
      </c>
      <c r="X22" s="285">
        <f t="shared" si="9"/>
        <v>10.256459156769541</v>
      </c>
    </row>
    <row r="23" spans="2:24" ht="15.75" customHeight="1">
      <c r="B23" s="556" t="s">
        <v>464</v>
      </c>
      <c r="C23" s="556"/>
      <c r="D23" s="556"/>
      <c r="E23" s="86"/>
      <c r="F23" s="86"/>
      <c r="G23" s="86"/>
    </row>
    <row r="24" spans="2:24" ht="15.75" customHeight="1">
      <c r="B24" s="86"/>
      <c r="C24" s="86"/>
      <c r="D24" s="86"/>
      <c r="E24" s="86"/>
      <c r="F24" s="86"/>
      <c r="G24" s="86"/>
      <c r="T24" s="162">
        <f>N22/T22</f>
        <v>0.84253668000485027</v>
      </c>
      <c r="V24" s="286">
        <f>Q22/T22</f>
        <v>0.15746331999514976</v>
      </c>
    </row>
    <row r="25" spans="2:24" ht="15.75" customHeight="1">
      <c r="B25" s="86"/>
      <c r="C25" s="86"/>
      <c r="D25" s="86"/>
      <c r="E25" s="86"/>
      <c r="F25" s="86"/>
      <c r="G25" s="86"/>
    </row>
    <row r="26" spans="2:24" ht="15.75" customHeight="1">
      <c r="B26" s="551" t="s">
        <v>465</v>
      </c>
      <c r="C26" s="551"/>
      <c r="D26" s="551"/>
      <c r="E26" s="551"/>
      <c r="F26" s="551"/>
    </row>
    <row r="27" spans="2:24" ht="15.75" customHeight="1">
      <c r="B27" s="511" t="s">
        <v>466</v>
      </c>
      <c r="C27" s="511"/>
      <c r="D27" s="511"/>
      <c r="E27" s="511"/>
      <c r="F27" s="511"/>
      <c r="G27" s="511"/>
      <c r="H27" s="511"/>
      <c r="I27" s="511"/>
      <c r="J27" s="511"/>
      <c r="K27" s="511"/>
    </row>
    <row r="28" spans="2:24" ht="15.75" customHeight="1">
      <c r="B28" s="521" t="s">
        <v>392</v>
      </c>
      <c r="C28" s="511" t="s">
        <v>467</v>
      </c>
      <c r="D28" s="511"/>
      <c r="E28" s="511"/>
      <c r="F28" s="511" t="s">
        <v>467</v>
      </c>
      <c r="G28" s="511"/>
      <c r="H28" s="511"/>
      <c r="I28" s="511" t="s">
        <v>467</v>
      </c>
      <c r="J28" s="511"/>
      <c r="K28" s="511"/>
    </row>
    <row r="29" spans="2:24" ht="15.75" customHeight="1">
      <c r="B29" s="521"/>
      <c r="C29" s="511" t="s">
        <v>468</v>
      </c>
      <c r="D29" s="511"/>
      <c r="E29" s="521" t="s">
        <v>306</v>
      </c>
      <c r="F29" s="511" t="s">
        <v>468</v>
      </c>
      <c r="G29" s="511"/>
      <c r="H29" s="521" t="s">
        <v>306</v>
      </c>
      <c r="I29" s="511" t="s">
        <v>468</v>
      </c>
      <c r="J29" s="511"/>
      <c r="K29" s="521" t="s">
        <v>306</v>
      </c>
    </row>
    <row r="30" spans="2:24" ht="15.75" customHeight="1">
      <c r="B30" s="521"/>
      <c r="C30" s="246" t="s">
        <v>469</v>
      </c>
      <c r="D30" s="246" t="s">
        <v>470</v>
      </c>
      <c r="E30" s="521"/>
      <c r="F30" s="246" t="s">
        <v>469</v>
      </c>
      <c r="G30" s="246" t="s">
        <v>470</v>
      </c>
      <c r="H30" s="521"/>
      <c r="I30" s="246" t="s">
        <v>469</v>
      </c>
      <c r="J30" s="246" t="s">
        <v>470</v>
      </c>
      <c r="K30" s="521"/>
    </row>
    <row r="31" spans="2:24" ht="15.75" customHeight="1">
      <c r="B31" s="287" t="s">
        <v>471</v>
      </c>
      <c r="C31" s="288"/>
      <c r="D31" s="288"/>
      <c r="E31" s="289"/>
      <c r="F31" s="288"/>
      <c r="G31" s="288"/>
      <c r="H31" s="289"/>
      <c r="I31" s="288"/>
      <c r="J31" s="288"/>
      <c r="K31" s="289"/>
    </row>
    <row r="32" spans="2:24" ht="15.75" customHeight="1">
      <c r="B32" s="21" t="s">
        <v>449</v>
      </c>
      <c r="C32" s="290">
        <v>79707</v>
      </c>
      <c r="D32" s="290">
        <v>52670</v>
      </c>
      <c r="E32" s="290">
        <v>132377</v>
      </c>
      <c r="F32" s="291">
        <v>0.68483275910953789</v>
      </c>
      <c r="G32" s="291">
        <v>0.43147020995977753</v>
      </c>
      <c r="H32" s="291">
        <v>0.55513293634152483</v>
      </c>
      <c r="I32" s="291">
        <v>0.60212121441035826</v>
      </c>
      <c r="J32" s="291">
        <v>0.39787878558964168</v>
      </c>
      <c r="K32" s="290">
        <v>132377.55513293634</v>
      </c>
    </row>
    <row r="33" spans="2:11" ht="15.75" customHeight="1">
      <c r="B33" s="21" t="s">
        <v>450</v>
      </c>
      <c r="C33" s="290">
        <v>5243</v>
      </c>
      <c r="D33" s="290">
        <v>8425</v>
      </c>
      <c r="E33" s="290">
        <v>13668</v>
      </c>
      <c r="F33" s="291">
        <v>4.5047212365429724E-2</v>
      </c>
      <c r="G33" s="291">
        <v>6.9017211295065981E-2</v>
      </c>
      <c r="H33" s="291">
        <v>5.7317789147026753E-2</v>
      </c>
      <c r="I33" s="291">
        <v>0.38359672227099795</v>
      </c>
      <c r="J33" s="291">
        <v>0.61640327772900205</v>
      </c>
      <c r="K33" s="290">
        <v>13668.057317789147</v>
      </c>
    </row>
    <row r="34" spans="2:11" ht="15.75" customHeight="1">
      <c r="B34" s="287" t="s">
        <v>472</v>
      </c>
      <c r="C34" s="290"/>
      <c r="D34" s="290"/>
      <c r="E34" s="290"/>
      <c r="F34" s="291"/>
      <c r="G34" s="291"/>
      <c r="H34" s="291"/>
      <c r="I34" s="291"/>
      <c r="J34" s="291"/>
      <c r="K34" s="290"/>
    </row>
    <row r="35" spans="2:11" ht="15.75" customHeight="1">
      <c r="B35" s="21" t="s">
        <v>473</v>
      </c>
      <c r="C35" s="290">
        <v>851</v>
      </c>
      <c r="D35" s="290">
        <v>1051</v>
      </c>
      <c r="E35" s="290">
        <v>1902</v>
      </c>
      <c r="F35" s="291">
        <v>7.311687530608563E-3</v>
      </c>
      <c r="G35" s="291">
        <v>8.6097435099245518E-3</v>
      </c>
      <c r="H35" s="291">
        <v>7.9761804914870414E-3</v>
      </c>
      <c r="I35" s="291">
        <v>0.44742376445846477</v>
      </c>
      <c r="J35" s="291">
        <v>0.55257623554153523</v>
      </c>
      <c r="K35" s="290">
        <v>1902.0079761804916</v>
      </c>
    </row>
    <row r="36" spans="2:11" ht="15.75" customHeight="1">
      <c r="B36" s="21" t="s">
        <v>474</v>
      </c>
      <c r="C36" s="290">
        <v>4134</v>
      </c>
      <c r="D36" s="290">
        <v>5181</v>
      </c>
      <c r="E36" s="290">
        <v>9315</v>
      </c>
      <c r="F36" s="291">
        <v>3.5518820507092597E-2</v>
      </c>
      <c r="G36" s="291">
        <v>4.2442512963766992E-2</v>
      </c>
      <c r="H36" s="291">
        <v>3.9063155246162877E-2</v>
      </c>
      <c r="I36" s="291">
        <v>0.44380032206119163</v>
      </c>
      <c r="J36" s="291">
        <v>0.55619967793880842</v>
      </c>
      <c r="K36" s="290">
        <v>9315.0390631552455</v>
      </c>
    </row>
    <row r="37" spans="2:11" ht="15.75" customHeight="1">
      <c r="B37" s="21" t="s">
        <v>475</v>
      </c>
      <c r="C37" s="290">
        <v>14163</v>
      </c>
      <c r="D37" s="290">
        <v>18246</v>
      </c>
      <c r="E37" s="290">
        <v>32409</v>
      </c>
      <c r="F37" s="291">
        <v>0.12168675733961114</v>
      </c>
      <c r="G37" s="291">
        <v>0.14947039018276248</v>
      </c>
      <c r="H37" s="291">
        <v>0.13590958651346138</v>
      </c>
      <c r="I37" s="291">
        <v>0.43700823845228176</v>
      </c>
      <c r="J37" s="291">
        <v>0.56299176154771824</v>
      </c>
      <c r="K37" s="290">
        <v>32409.135909586512</v>
      </c>
    </row>
    <row r="38" spans="2:11" ht="15.75" customHeight="1">
      <c r="B38" s="21" t="s">
        <v>476</v>
      </c>
      <c r="C38" s="290">
        <v>585</v>
      </c>
      <c r="D38" s="290">
        <v>23031</v>
      </c>
      <c r="E38" s="290">
        <v>23616</v>
      </c>
      <c r="F38" s="291">
        <v>5.0262481849659328E-3</v>
      </c>
      <c r="G38" s="291">
        <v>0.18866888941681481</v>
      </c>
      <c r="H38" s="291">
        <v>9.9035477648242887E-2</v>
      </c>
      <c r="I38" s="291">
        <v>2.4771341463414635E-2</v>
      </c>
      <c r="J38" s="291">
        <v>0.97522865853658536</v>
      </c>
      <c r="K38" s="290">
        <v>23616.099035477648</v>
      </c>
    </row>
    <row r="39" spans="2:11" ht="15.75" customHeight="1">
      <c r="B39" s="21" t="s">
        <v>477</v>
      </c>
      <c r="C39" s="290">
        <v>2743</v>
      </c>
      <c r="D39" s="290">
        <v>2205</v>
      </c>
      <c r="E39" s="290">
        <v>4948</v>
      </c>
      <c r="F39" s="291">
        <v>2.356751926728471E-2</v>
      </c>
      <c r="G39" s="291">
        <v>1.8063258267729435E-2</v>
      </c>
      <c r="H39" s="291">
        <v>2.0749811289105091E-2</v>
      </c>
      <c r="I39" s="291">
        <v>0.55436540016168145</v>
      </c>
      <c r="J39" s="291">
        <v>0.44563459983831849</v>
      </c>
      <c r="K39" s="290">
        <v>4948.0207498112895</v>
      </c>
    </row>
    <row r="40" spans="2:11" ht="15.75" customHeight="1">
      <c r="B40" s="21" t="s">
        <v>32</v>
      </c>
      <c r="C40" s="290">
        <v>4531</v>
      </c>
      <c r="D40" s="290">
        <v>6239</v>
      </c>
      <c r="E40" s="290">
        <v>10770</v>
      </c>
      <c r="F40" s="291">
        <v>3.8929795771078024E-2</v>
      </c>
      <c r="G40" s="291">
        <v>5.1109600150731953E-2</v>
      </c>
      <c r="H40" s="291">
        <v>4.516480751488719E-2</v>
      </c>
      <c r="I40" s="291">
        <v>0.42070566388115133</v>
      </c>
      <c r="J40" s="291">
        <v>0.57929433611884862</v>
      </c>
      <c r="K40" s="290">
        <v>10770.045164807514</v>
      </c>
    </row>
    <row r="41" spans="2:11" ht="15.75" customHeight="1">
      <c r="B41" s="21" t="s">
        <v>478</v>
      </c>
      <c r="C41" s="290">
        <v>4432</v>
      </c>
      <c r="D41" s="290">
        <v>5023</v>
      </c>
      <c r="E41" s="290">
        <v>9455</v>
      </c>
      <c r="F41" s="291">
        <v>3.8079199924391481E-2</v>
      </c>
      <c r="G41" s="291">
        <v>4.1148184253426284E-2</v>
      </c>
      <c r="H41" s="291">
        <v>3.965025580810199E-2</v>
      </c>
      <c r="I41" s="291">
        <v>0.46874669487043891</v>
      </c>
      <c r="J41" s="291">
        <v>0.53125330512956104</v>
      </c>
      <c r="K41" s="290">
        <v>9455.0396502558087</v>
      </c>
    </row>
    <row r="42" spans="2:11" ht="15.75" customHeight="1">
      <c r="B42" s="292" t="s">
        <v>479</v>
      </c>
      <c r="C42" s="293">
        <v>116389</v>
      </c>
      <c r="D42" s="293">
        <v>122071</v>
      </c>
      <c r="E42" s="293">
        <v>238460</v>
      </c>
      <c r="F42" s="291">
        <v>1</v>
      </c>
      <c r="G42" s="291">
        <v>1</v>
      </c>
      <c r="H42" s="291">
        <v>1</v>
      </c>
      <c r="I42" s="291">
        <v>0.48808605216807849</v>
      </c>
      <c r="J42" s="291">
        <v>0.51191394783192146</v>
      </c>
      <c r="K42" s="293">
        <v>238461</v>
      </c>
    </row>
    <row r="43" spans="2:11" ht="15.75" customHeight="1">
      <c r="B43" s="252"/>
      <c r="C43" s="294"/>
      <c r="D43" s="294"/>
      <c r="E43" s="294"/>
      <c r="F43" s="295"/>
      <c r="G43" s="295"/>
      <c r="H43" s="295"/>
      <c r="I43" s="295"/>
      <c r="J43" s="295"/>
      <c r="K43" s="294"/>
    </row>
    <row r="44" spans="2:11" ht="15.75" customHeight="1">
      <c r="B44" s="252"/>
      <c r="C44" s="294"/>
      <c r="D44" s="294"/>
      <c r="E44" s="294"/>
      <c r="F44" s="295"/>
      <c r="G44" s="295"/>
      <c r="H44" s="295"/>
      <c r="I44" s="295"/>
      <c r="J44" s="295"/>
      <c r="K44" s="294"/>
    </row>
    <row r="45" spans="2:11" ht="15.75" customHeight="1">
      <c r="B45" s="252"/>
      <c r="C45" s="294"/>
      <c r="D45" s="294"/>
      <c r="E45" s="294"/>
      <c r="F45" s="295"/>
      <c r="G45" s="295"/>
      <c r="H45" s="295"/>
      <c r="I45" s="295"/>
      <c r="J45" s="295"/>
      <c r="K45" s="294"/>
    </row>
    <row r="46" spans="2:11" ht="15.75" customHeight="1">
      <c r="B46" s="252"/>
      <c r="C46" s="294"/>
      <c r="D46" s="294"/>
      <c r="E46" s="294"/>
      <c r="F46" s="295"/>
      <c r="G46" s="295"/>
      <c r="H46" s="295"/>
      <c r="I46" s="295"/>
      <c r="J46" s="295"/>
      <c r="K46" s="294"/>
    </row>
    <row r="48" spans="2:11">
      <c r="B48" s="547" t="s">
        <v>480</v>
      </c>
      <c r="C48" s="547"/>
      <c r="D48" s="547"/>
      <c r="E48" s="547"/>
    </row>
    <row r="50" spans="2:7">
      <c r="B50" s="548" t="s">
        <v>481</v>
      </c>
      <c r="C50" s="548"/>
      <c r="D50" s="548"/>
      <c r="E50" s="548"/>
      <c r="F50" s="548"/>
      <c r="G50" s="548"/>
    </row>
    <row r="51" spans="2:7" ht="47.25" customHeight="1">
      <c r="B51" s="296" t="s">
        <v>482</v>
      </c>
      <c r="C51" s="296" t="s">
        <v>449</v>
      </c>
      <c r="D51" s="296" t="s">
        <v>483</v>
      </c>
      <c r="E51" s="296" t="s">
        <v>484</v>
      </c>
      <c r="F51" s="296" t="s">
        <v>485</v>
      </c>
      <c r="G51" s="297" t="s">
        <v>486</v>
      </c>
    </row>
    <row r="52" spans="2:7" ht="18" customHeight="1">
      <c r="B52" s="297"/>
      <c r="C52" s="296" t="s">
        <v>487</v>
      </c>
      <c r="D52" s="296" t="s">
        <v>488</v>
      </c>
      <c r="E52" s="296" t="s">
        <v>489</v>
      </c>
      <c r="F52" s="296" t="s">
        <v>490</v>
      </c>
      <c r="G52" s="296" t="s">
        <v>491</v>
      </c>
    </row>
    <row r="53" spans="2:7">
      <c r="B53" s="258">
        <v>1995</v>
      </c>
      <c r="C53" s="298">
        <v>82240</v>
      </c>
      <c r="D53" s="298">
        <v>7559</v>
      </c>
      <c r="E53" s="298">
        <v>8108</v>
      </c>
      <c r="F53" s="258">
        <v>8</v>
      </c>
      <c r="G53" s="258">
        <v>16</v>
      </c>
    </row>
    <row r="54" spans="2:7" ht="12.75" customHeight="1">
      <c r="B54" s="258">
        <v>1996</v>
      </c>
      <c r="C54" s="298">
        <v>87134</v>
      </c>
      <c r="D54" s="298">
        <v>10699</v>
      </c>
      <c r="E54" s="298">
        <v>9257</v>
      </c>
      <c r="F54" s="258">
        <v>11</v>
      </c>
      <c r="G54" s="258">
        <v>19</v>
      </c>
    </row>
    <row r="55" spans="2:7">
      <c r="B55" s="258">
        <v>1997</v>
      </c>
      <c r="C55" s="298">
        <v>84267</v>
      </c>
      <c r="D55" s="298">
        <v>9196</v>
      </c>
      <c r="E55" s="298">
        <v>7555</v>
      </c>
      <c r="F55" s="258">
        <v>10</v>
      </c>
      <c r="G55" s="258">
        <v>17</v>
      </c>
    </row>
    <row r="56" spans="2:7">
      <c r="B56" s="258">
        <v>1998</v>
      </c>
      <c r="C56" s="298">
        <v>88106</v>
      </c>
      <c r="D56" s="298">
        <v>10475</v>
      </c>
      <c r="E56" s="298">
        <v>6605</v>
      </c>
      <c r="F56" s="258">
        <v>11</v>
      </c>
      <c r="G56" s="258">
        <v>16</v>
      </c>
    </row>
    <row r="57" spans="2:7">
      <c r="B57" s="258">
        <v>1999</v>
      </c>
      <c r="C57" s="298">
        <v>92747</v>
      </c>
      <c r="D57" s="298">
        <v>12647</v>
      </c>
      <c r="E57" s="298">
        <v>5801</v>
      </c>
      <c r="F57" s="258">
        <v>12</v>
      </c>
      <c r="G57" s="258">
        <v>17</v>
      </c>
    </row>
    <row r="58" spans="2:7">
      <c r="B58" s="258">
        <v>2000</v>
      </c>
      <c r="C58" s="298">
        <v>95374</v>
      </c>
      <c r="D58" s="298">
        <v>15226</v>
      </c>
      <c r="E58" s="74" t="s">
        <v>492</v>
      </c>
      <c r="F58" s="258">
        <v>14</v>
      </c>
      <c r="G58" s="258" t="s">
        <v>492</v>
      </c>
    </row>
    <row r="59" spans="2:7">
      <c r="B59" s="258">
        <v>2001</v>
      </c>
      <c r="C59" s="298">
        <v>97872</v>
      </c>
      <c r="D59" s="298">
        <v>15575</v>
      </c>
      <c r="E59" s="74" t="s">
        <v>492</v>
      </c>
      <c r="F59" s="258">
        <v>14</v>
      </c>
      <c r="G59" s="258" t="s">
        <v>492</v>
      </c>
    </row>
    <row r="60" spans="2:7">
      <c r="B60" s="258">
        <v>2002</v>
      </c>
      <c r="C60" s="298">
        <v>105129</v>
      </c>
      <c r="D60" s="298">
        <v>11239</v>
      </c>
      <c r="E60" s="74" t="s">
        <v>492</v>
      </c>
      <c r="F60" s="258">
        <v>10</v>
      </c>
      <c r="G60" s="258" t="s">
        <v>492</v>
      </c>
    </row>
    <row r="61" spans="2:7">
      <c r="B61" s="258">
        <v>2003</v>
      </c>
      <c r="C61" s="298">
        <v>111547</v>
      </c>
      <c r="D61" s="298">
        <v>7817</v>
      </c>
      <c r="E61" s="74" t="s">
        <v>492</v>
      </c>
      <c r="F61" s="258">
        <v>7</v>
      </c>
      <c r="G61" s="258" t="s">
        <v>492</v>
      </c>
    </row>
    <row r="62" spans="2:7">
      <c r="B62" s="258">
        <v>2004</v>
      </c>
      <c r="C62" s="298">
        <v>112158</v>
      </c>
      <c r="D62" s="298">
        <v>10262</v>
      </c>
      <c r="E62" s="298">
        <v>3904</v>
      </c>
      <c r="F62" s="258">
        <v>8</v>
      </c>
      <c r="G62" s="258">
        <v>11</v>
      </c>
    </row>
    <row r="63" spans="2:7">
      <c r="B63" s="258">
        <v>2005</v>
      </c>
      <c r="C63" s="298">
        <v>117379</v>
      </c>
      <c r="D63" s="298">
        <v>14632</v>
      </c>
      <c r="E63" s="298">
        <v>6903</v>
      </c>
      <c r="F63" s="258">
        <v>11</v>
      </c>
      <c r="G63" s="258">
        <v>16</v>
      </c>
    </row>
    <row r="64" spans="2:7">
      <c r="B64" s="258">
        <v>2006</v>
      </c>
      <c r="C64" s="298">
        <v>119249</v>
      </c>
      <c r="D64" s="298">
        <v>16695</v>
      </c>
      <c r="E64" s="298">
        <v>6838</v>
      </c>
      <c r="F64" s="258">
        <v>12</v>
      </c>
      <c r="G64" s="258">
        <v>17</v>
      </c>
    </row>
    <row r="65" spans="2:7">
      <c r="B65" s="258">
        <v>2007</v>
      </c>
      <c r="C65" s="298">
        <v>123796</v>
      </c>
      <c r="D65" s="298">
        <v>14806</v>
      </c>
      <c r="E65" s="298">
        <v>6304</v>
      </c>
      <c r="F65" s="258">
        <v>11</v>
      </c>
      <c r="G65" s="258">
        <v>15</v>
      </c>
    </row>
    <row r="66" spans="2:7">
      <c r="B66" s="258">
        <v>2008</v>
      </c>
      <c r="C66" s="298">
        <v>126674</v>
      </c>
      <c r="D66" s="298">
        <v>13082</v>
      </c>
      <c r="E66" s="298">
        <v>5713</v>
      </c>
      <c r="F66" s="258">
        <v>9</v>
      </c>
      <c r="G66" s="258">
        <v>13</v>
      </c>
    </row>
    <row r="67" spans="2:7">
      <c r="B67" s="258">
        <v>2009</v>
      </c>
      <c r="C67" s="298">
        <v>132346</v>
      </c>
      <c r="D67" s="298">
        <v>12629</v>
      </c>
      <c r="E67" s="298">
        <v>7146</v>
      </c>
      <c r="F67" s="258">
        <v>9</v>
      </c>
      <c r="G67" s="258">
        <v>13</v>
      </c>
    </row>
    <row r="68" spans="2:7">
      <c r="B68" s="258">
        <v>2010</v>
      </c>
      <c r="C68" s="298">
        <v>135139</v>
      </c>
      <c r="D68" s="298">
        <v>10413</v>
      </c>
      <c r="E68" s="298">
        <v>6700</v>
      </c>
      <c r="F68" s="258">
        <v>7</v>
      </c>
      <c r="G68" s="258">
        <v>11</v>
      </c>
    </row>
    <row r="69" spans="2:7" ht="15.75" customHeight="1">
      <c r="B69" s="258">
        <v>2011</v>
      </c>
      <c r="C69" s="298">
        <v>135820</v>
      </c>
      <c r="D69" s="298">
        <v>11084</v>
      </c>
      <c r="E69" s="298">
        <v>4560</v>
      </c>
      <c r="F69" s="258">
        <v>8</v>
      </c>
      <c r="G69" s="258">
        <v>10</v>
      </c>
    </row>
    <row r="70" spans="2:7">
      <c r="B70" s="258">
        <v>2012</v>
      </c>
      <c r="C70" s="298">
        <v>135853</v>
      </c>
      <c r="D70" s="298">
        <v>11973</v>
      </c>
      <c r="E70" s="298">
        <v>3195</v>
      </c>
      <c r="F70" s="258">
        <v>8</v>
      </c>
      <c r="G70" s="258">
        <v>10</v>
      </c>
    </row>
    <row r="71" spans="2:7">
      <c r="B71" s="258">
        <v>2013</v>
      </c>
      <c r="C71" s="298">
        <v>140895</v>
      </c>
      <c r="D71" s="298">
        <v>9960</v>
      </c>
      <c r="E71" s="298">
        <v>5456</v>
      </c>
      <c r="F71" s="258">
        <v>7</v>
      </c>
      <c r="G71" s="258">
        <v>10</v>
      </c>
    </row>
    <row r="72" spans="2:7" ht="19.5" hidden="1" customHeight="1" thickBot="1">
      <c r="B72" s="258" t="s">
        <v>1484</v>
      </c>
      <c r="C72" s="298">
        <v>143972</v>
      </c>
      <c r="D72" s="298">
        <v>10745</v>
      </c>
      <c r="E72" s="298">
        <v>5551</v>
      </c>
      <c r="F72" s="258">
        <v>7</v>
      </c>
      <c r="G72" s="258">
        <v>10</v>
      </c>
    </row>
    <row r="73" spans="2:7">
      <c r="B73" s="258">
        <v>2014</v>
      </c>
      <c r="C73" s="298">
        <v>145036</v>
      </c>
      <c r="D73" s="298">
        <v>8374</v>
      </c>
      <c r="E73" s="298">
        <v>6476</v>
      </c>
      <c r="F73" s="258">
        <v>5</v>
      </c>
      <c r="G73" s="258">
        <v>9</v>
      </c>
    </row>
    <row r="74" spans="2:7">
      <c r="B74" s="258">
        <v>2015</v>
      </c>
      <c r="C74" s="298">
        <v>136447</v>
      </c>
      <c r="D74" s="298">
        <v>10621</v>
      </c>
      <c r="E74" s="298">
        <v>6616</v>
      </c>
      <c r="F74" s="258">
        <v>7</v>
      </c>
      <c r="G74" s="258">
        <v>11</v>
      </c>
    </row>
    <row r="75" spans="2:7">
      <c r="B75" s="258">
        <v>2016</v>
      </c>
      <c r="C75" s="298">
        <v>133663</v>
      </c>
      <c r="D75" s="298">
        <v>14369</v>
      </c>
      <c r="E75" s="298">
        <v>8584</v>
      </c>
      <c r="F75" s="258">
        <v>10</v>
      </c>
      <c r="G75" s="258">
        <v>15</v>
      </c>
    </row>
    <row r="76" spans="2:7">
      <c r="B76" s="258">
        <v>2017</v>
      </c>
      <c r="C76" s="298">
        <v>138071</v>
      </c>
      <c r="D76" s="298">
        <v>11189</v>
      </c>
      <c r="E76" s="298">
        <v>6293</v>
      </c>
      <c r="F76" s="258"/>
      <c r="G76" s="258">
        <v>11</v>
      </c>
    </row>
    <row r="77" spans="2:7">
      <c r="B77" s="258">
        <v>2018</v>
      </c>
      <c r="C77" s="298">
        <v>137059</v>
      </c>
      <c r="D77" s="299">
        <v>14277</v>
      </c>
      <c r="E77" s="299">
        <v>11655</v>
      </c>
      <c r="F77" s="258"/>
      <c r="G77" s="258">
        <v>16</v>
      </c>
    </row>
    <row r="78" spans="2:7">
      <c r="B78" s="258">
        <v>2019</v>
      </c>
      <c r="C78" s="298">
        <v>143096</v>
      </c>
      <c r="D78" s="299">
        <v>17519</v>
      </c>
      <c r="E78" s="299">
        <v>10040</v>
      </c>
      <c r="F78" s="258">
        <v>11</v>
      </c>
      <c r="G78" s="258">
        <v>16</v>
      </c>
    </row>
    <row r="79" spans="2:7">
      <c r="B79" s="162" t="s">
        <v>493</v>
      </c>
      <c r="C79" s="162"/>
    </row>
    <row r="80" spans="2:7">
      <c r="B80" s="162" t="s">
        <v>362</v>
      </c>
      <c r="C80" s="162" t="s">
        <v>87</v>
      </c>
    </row>
    <row r="81" spans="2:9">
      <c r="B81" s="162" t="s">
        <v>494</v>
      </c>
      <c r="C81" s="162"/>
    </row>
    <row r="83" spans="2:9">
      <c r="B83" s="546" t="s">
        <v>495</v>
      </c>
      <c r="C83" s="546"/>
      <c r="D83" s="546"/>
      <c r="E83" s="546"/>
      <c r="F83" s="546"/>
      <c r="G83" s="546"/>
    </row>
    <row r="86" spans="2:9">
      <c r="B86" s="535" t="s">
        <v>1483</v>
      </c>
      <c r="C86" s="536"/>
      <c r="D86" s="536"/>
      <c r="E86" s="536"/>
      <c r="F86" s="536"/>
      <c r="G86" s="536"/>
      <c r="H86" s="536"/>
      <c r="I86" s="537"/>
    </row>
    <row r="87" spans="2:9">
      <c r="B87" s="232" t="s">
        <v>496</v>
      </c>
      <c r="C87" s="300">
        <v>42705</v>
      </c>
      <c r="D87" s="300">
        <v>43070</v>
      </c>
      <c r="E87" s="300">
        <v>43435</v>
      </c>
      <c r="F87" s="300">
        <v>43800</v>
      </c>
      <c r="G87" s="300">
        <v>44166</v>
      </c>
      <c r="H87" s="300">
        <v>44531</v>
      </c>
      <c r="I87" s="300">
        <v>44896</v>
      </c>
    </row>
    <row r="88" spans="2:9" ht="15.75" customHeight="1">
      <c r="B88" s="222" t="s">
        <v>497</v>
      </c>
      <c r="C88" s="301">
        <v>5083</v>
      </c>
      <c r="D88" s="301">
        <v>5089</v>
      </c>
      <c r="E88" s="302">
        <v>5090</v>
      </c>
      <c r="F88" s="302">
        <v>5494</v>
      </c>
      <c r="G88" s="302">
        <v>5720</v>
      </c>
      <c r="H88" s="302">
        <v>5779</v>
      </c>
      <c r="I88" s="302">
        <v>6380</v>
      </c>
    </row>
    <row r="89" spans="2:9" ht="15.75">
      <c r="B89" s="222" t="s">
        <v>498</v>
      </c>
      <c r="C89" s="301">
        <v>3423</v>
      </c>
      <c r="D89" s="301">
        <v>3999</v>
      </c>
      <c r="E89" s="302">
        <v>4120</v>
      </c>
      <c r="F89" s="302">
        <v>5051</v>
      </c>
      <c r="G89" s="302">
        <v>7177</v>
      </c>
      <c r="H89" s="302">
        <v>7353</v>
      </c>
      <c r="I89" s="302">
        <v>7964</v>
      </c>
    </row>
    <row r="90" spans="2:9" ht="15.75">
      <c r="B90" s="222" t="s">
        <v>499</v>
      </c>
      <c r="C90" s="301">
        <v>6803</v>
      </c>
      <c r="D90" s="301">
        <v>6657</v>
      </c>
      <c r="E90" s="302">
        <v>5029</v>
      </c>
      <c r="F90" s="302">
        <v>5286</v>
      </c>
      <c r="G90" s="302">
        <v>8300</v>
      </c>
      <c r="H90" s="302">
        <v>9057</v>
      </c>
      <c r="I90" s="302">
        <v>9528</v>
      </c>
    </row>
    <row r="91" spans="2:9" ht="15.75">
      <c r="B91" s="222" t="s">
        <v>500</v>
      </c>
      <c r="C91" s="301">
        <v>4598</v>
      </c>
      <c r="D91" s="301">
        <v>4624</v>
      </c>
      <c r="E91" s="302">
        <v>4617</v>
      </c>
      <c r="F91" s="302">
        <v>5028</v>
      </c>
      <c r="G91" s="302">
        <v>4865</v>
      </c>
      <c r="H91" s="302">
        <v>4600</v>
      </c>
      <c r="I91" s="302">
        <v>4369</v>
      </c>
    </row>
    <row r="92" spans="2:9" ht="15.75">
      <c r="B92" s="222" t="s">
        <v>501</v>
      </c>
      <c r="C92" s="303">
        <v>229</v>
      </c>
      <c r="D92" s="303">
        <v>264</v>
      </c>
      <c r="E92" s="23">
        <v>264</v>
      </c>
      <c r="F92" s="23">
        <v>299</v>
      </c>
      <c r="G92" s="23">
        <v>248</v>
      </c>
      <c r="H92" s="302">
        <v>261</v>
      </c>
      <c r="I92" s="302">
        <v>329</v>
      </c>
    </row>
    <row r="93" spans="2:9" ht="15.75">
      <c r="B93" s="222" t="s">
        <v>502</v>
      </c>
      <c r="C93" s="301">
        <v>1327</v>
      </c>
      <c r="D93" s="301">
        <v>1261</v>
      </c>
      <c r="E93" s="302">
        <v>1282</v>
      </c>
      <c r="F93" s="302">
        <v>1364</v>
      </c>
      <c r="G93" s="302">
        <v>1323</v>
      </c>
      <c r="H93" s="302">
        <v>1237</v>
      </c>
      <c r="I93" s="302">
        <v>1606</v>
      </c>
    </row>
    <row r="94" spans="2:9" ht="15.75">
      <c r="B94" s="222" t="s">
        <v>503</v>
      </c>
      <c r="C94" s="303">
        <v>620</v>
      </c>
      <c r="D94" s="303">
        <v>620</v>
      </c>
      <c r="E94" s="23">
        <v>569</v>
      </c>
      <c r="F94" s="23">
        <v>634</v>
      </c>
      <c r="G94" s="23">
        <v>646</v>
      </c>
      <c r="H94" s="302">
        <v>576</v>
      </c>
      <c r="I94" s="302">
        <v>658</v>
      </c>
    </row>
    <row r="95" spans="2:9" ht="30">
      <c r="B95" s="222" t="s">
        <v>504</v>
      </c>
      <c r="C95" s="301">
        <v>1364</v>
      </c>
      <c r="D95" s="301">
        <v>1337</v>
      </c>
      <c r="E95" s="302">
        <v>1296</v>
      </c>
      <c r="F95" s="302">
        <v>1434</v>
      </c>
      <c r="G95" s="302">
        <v>1441</v>
      </c>
      <c r="H95" s="302">
        <v>1443</v>
      </c>
      <c r="I95" s="302">
        <v>1690</v>
      </c>
    </row>
    <row r="96" spans="2:9" ht="15.75">
      <c r="B96" s="222" t="s">
        <v>505</v>
      </c>
      <c r="C96" s="303">
        <v>868</v>
      </c>
      <c r="D96" s="303">
        <v>835</v>
      </c>
      <c r="E96" s="23">
        <v>800</v>
      </c>
      <c r="F96" s="23">
        <v>855</v>
      </c>
      <c r="G96" s="23">
        <v>792</v>
      </c>
      <c r="H96" s="302">
        <v>801</v>
      </c>
      <c r="I96" s="302">
        <v>991</v>
      </c>
    </row>
    <row r="97" spans="2:9" ht="15.75">
      <c r="B97" s="222" t="s">
        <v>506</v>
      </c>
      <c r="C97" s="303">
        <v>389</v>
      </c>
      <c r="D97" s="303">
        <v>370</v>
      </c>
      <c r="E97" s="23">
        <v>414</v>
      </c>
      <c r="F97" s="23">
        <v>441</v>
      </c>
      <c r="G97" s="23">
        <v>402</v>
      </c>
      <c r="H97" s="302">
        <v>572</v>
      </c>
      <c r="I97" s="302">
        <v>623</v>
      </c>
    </row>
    <row r="98" spans="2:9" ht="13.5" customHeight="1">
      <c r="B98" s="222" t="s">
        <v>507</v>
      </c>
      <c r="C98" s="301">
        <v>2685</v>
      </c>
      <c r="D98" s="301">
        <v>2581</v>
      </c>
      <c r="E98" s="302">
        <v>2539</v>
      </c>
      <c r="F98" s="302">
        <v>2797</v>
      </c>
      <c r="G98" s="302">
        <v>2739</v>
      </c>
      <c r="H98" s="302">
        <v>2729</v>
      </c>
      <c r="I98" s="302">
        <v>2839</v>
      </c>
    </row>
    <row r="99" spans="2:9" ht="15" customHeight="1">
      <c r="B99" s="222" t="s">
        <v>508</v>
      </c>
      <c r="C99" s="301">
        <v>17636</v>
      </c>
      <c r="D99" s="301">
        <v>17249</v>
      </c>
      <c r="E99" s="302">
        <v>17233</v>
      </c>
      <c r="F99" s="302">
        <v>17189</v>
      </c>
      <c r="G99" s="302">
        <v>17421</v>
      </c>
      <c r="H99" s="302">
        <v>17288</v>
      </c>
      <c r="I99" s="302">
        <v>18049</v>
      </c>
    </row>
    <row r="100" spans="2:9" ht="15.75">
      <c r="B100" s="222" t="s">
        <v>509</v>
      </c>
      <c r="C100" s="303" t="s">
        <v>510</v>
      </c>
      <c r="D100" s="303">
        <v>590</v>
      </c>
      <c r="E100" s="23">
        <v>574</v>
      </c>
      <c r="F100" s="23">
        <v>666</v>
      </c>
      <c r="G100" s="23">
        <v>905</v>
      </c>
      <c r="H100" s="302">
        <v>724</v>
      </c>
      <c r="I100" s="302">
        <v>751</v>
      </c>
    </row>
    <row r="101" spans="2:9" ht="15.75">
      <c r="B101" s="222" t="s">
        <v>511</v>
      </c>
      <c r="C101" s="301">
        <v>4409</v>
      </c>
      <c r="D101" s="301">
        <v>4305</v>
      </c>
      <c r="E101" s="302">
        <v>4347</v>
      </c>
      <c r="F101" s="302">
        <v>4682</v>
      </c>
      <c r="G101" s="302">
        <v>4743</v>
      </c>
      <c r="H101" s="302">
        <v>4735</v>
      </c>
      <c r="I101" s="302">
        <v>4814</v>
      </c>
    </row>
    <row r="102" spans="2:9" ht="15.75">
      <c r="B102" s="222" t="s">
        <v>512</v>
      </c>
      <c r="C102" s="301">
        <v>2881</v>
      </c>
      <c r="D102" s="301">
        <v>2754</v>
      </c>
      <c r="E102" s="302">
        <v>2754</v>
      </c>
      <c r="F102" s="302">
        <v>2875</v>
      </c>
      <c r="G102" s="302">
        <v>3762</v>
      </c>
      <c r="H102" s="302">
        <v>3655</v>
      </c>
      <c r="I102" s="302">
        <v>3885</v>
      </c>
    </row>
    <row r="103" spans="2:9" ht="13.5" customHeight="1">
      <c r="B103" s="222" t="s">
        <v>513</v>
      </c>
      <c r="C103" s="301">
        <v>1031</v>
      </c>
      <c r="D103" s="303">
        <v>993</v>
      </c>
      <c r="E103" s="23">
        <v>931</v>
      </c>
      <c r="F103" s="302">
        <v>1004</v>
      </c>
      <c r="G103" s="302">
        <v>1088</v>
      </c>
      <c r="H103" s="302">
        <v>1134</v>
      </c>
      <c r="I103" s="302">
        <v>1287</v>
      </c>
    </row>
    <row r="104" spans="2:9" ht="30.75" customHeight="1">
      <c r="B104" s="222" t="s">
        <v>514</v>
      </c>
      <c r="C104" s="303">
        <v>526</v>
      </c>
      <c r="D104" s="303">
        <v>504</v>
      </c>
      <c r="E104" s="23">
        <v>505</v>
      </c>
      <c r="F104" s="23">
        <v>529</v>
      </c>
      <c r="G104" s="23">
        <v>461</v>
      </c>
      <c r="H104" s="302">
        <v>536</v>
      </c>
      <c r="I104" s="302">
        <v>768</v>
      </c>
    </row>
    <row r="105" spans="2:9" ht="15.75">
      <c r="B105" s="232" t="s">
        <v>306</v>
      </c>
      <c r="C105" s="304">
        <v>54453</v>
      </c>
      <c r="D105" s="304">
        <v>54032</v>
      </c>
      <c r="E105" s="305">
        <v>52364</v>
      </c>
      <c r="F105" s="305">
        <v>57698</v>
      </c>
      <c r="G105" s="305">
        <v>62033</v>
      </c>
      <c r="H105" s="306">
        <f>SUM(H88:H104)</f>
        <v>62480</v>
      </c>
      <c r="I105" s="306">
        <f>SUM(I88:I104)</f>
        <v>66531</v>
      </c>
    </row>
    <row r="106" spans="2:9">
      <c r="B106" s="162" t="s">
        <v>515</v>
      </c>
      <c r="C106" s="162"/>
    </row>
    <row r="107" spans="2:9">
      <c r="B107" s="162" t="s">
        <v>362</v>
      </c>
      <c r="C107" s="162" t="s">
        <v>87</v>
      </c>
    </row>
    <row r="108" spans="2:9">
      <c r="B108" s="162" t="s">
        <v>516</v>
      </c>
      <c r="C108" s="162"/>
    </row>
    <row r="111" spans="2:9">
      <c r="B111" s="559" t="s">
        <v>517</v>
      </c>
      <c r="C111" s="559"/>
      <c r="D111" s="559"/>
      <c r="E111" s="559"/>
      <c r="F111" s="559"/>
      <c r="G111" s="559"/>
      <c r="H111" s="559"/>
    </row>
    <row r="112" spans="2:9">
      <c r="B112" s="253" t="s">
        <v>518</v>
      </c>
      <c r="C112" s="254">
        <v>2015</v>
      </c>
      <c r="D112" s="254">
        <v>2016</v>
      </c>
      <c r="E112" s="254">
        <v>2017</v>
      </c>
      <c r="F112" s="254">
        <v>2018</v>
      </c>
      <c r="G112" s="254">
        <v>2019</v>
      </c>
      <c r="H112" s="254" t="s">
        <v>519</v>
      </c>
    </row>
    <row r="113" spans="2:8">
      <c r="B113" s="151" t="s">
        <v>369</v>
      </c>
      <c r="C113" s="256">
        <v>10400</v>
      </c>
      <c r="D113" s="256">
        <v>10100</v>
      </c>
      <c r="E113" s="256">
        <v>9900</v>
      </c>
      <c r="F113" s="256">
        <v>9800</v>
      </c>
      <c r="G113" s="256">
        <v>9900</v>
      </c>
      <c r="H113" s="307">
        <v>9700</v>
      </c>
    </row>
    <row r="114" spans="2:8">
      <c r="B114" s="151" t="s">
        <v>370</v>
      </c>
      <c r="C114" s="256">
        <v>9400</v>
      </c>
      <c r="D114" s="256">
        <v>8100</v>
      </c>
      <c r="E114" s="256">
        <v>7600</v>
      </c>
      <c r="F114" s="256">
        <v>8800</v>
      </c>
      <c r="G114" s="256">
        <v>7900</v>
      </c>
      <c r="H114" s="307">
        <v>7800</v>
      </c>
    </row>
    <row r="115" spans="2:8">
      <c r="B115" s="151" t="s">
        <v>371</v>
      </c>
      <c r="C115" s="256">
        <v>10100</v>
      </c>
      <c r="D115" s="256">
        <v>9700</v>
      </c>
      <c r="E115" s="256">
        <v>9900</v>
      </c>
      <c r="F115" s="256">
        <v>9900</v>
      </c>
      <c r="G115" s="256">
        <v>10900</v>
      </c>
      <c r="H115" s="307">
        <v>10900</v>
      </c>
    </row>
    <row r="116" spans="2:8" ht="25.5">
      <c r="B116" s="151" t="s">
        <v>372</v>
      </c>
      <c r="C116" s="256">
        <v>2000</v>
      </c>
      <c r="D116" s="256">
        <v>2300</v>
      </c>
      <c r="E116" s="256">
        <v>2100</v>
      </c>
      <c r="F116" s="256">
        <v>2100</v>
      </c>
      <c r="G116" s="256">
        <v>2000</v>
      </c>
      <c r="H116" s="307">
        <v>2200</v>
      </c>
    </row>
    <row r="117" spans="2:8" ht="25.5">
      <c r="B117" s="151" t="s">
        <v>373</v>
      </c>
      <c r="C117" s="204">
        <v>800</v>
      </c>
      <c r="D117" s="204">
        <v>900</v>
      </c>
      <c r="E117" s="204">
        <v>900</v>
      </c>
      <c r="F117" s="204">
        <v>900</v>
      </c>
      <c r="G117" s="204">
        <v>800</v>
      </c>
      <c r="H117" s="307">
        <v>900</v>
      </c>
    </row>
    <row r="118" spans="2:8">
      <c r="B118" s="151" t="s">
        <v>374</v>
      </c>
      <c r="C118" s="256">
        <v>19600</v>
      </c>
      <c r="D118" s="256">
        <v>17600</v>
      </c>
      <c r="E118" s="256">
        <v>21100</v>
      </c>
      <c r="F118" s="256">
        <v>18100</v>
      </c>
      <c r="G118" s="256">
        <v>16600</v>
      </c>
      <c r="H118" s="307">
        <v>14000</v>
      </c>
    </row>
    <row r="119" spans="2:8" ht="25.5">
      <c r="B119" s="151" t="s">
        <v>375</v>
      </c>
      <c r="C119" s="256">
        <v>29100</v>
      </c>
      <c r="D119" s="256">
        <v>27000</v>
      </c>
      <c r="E119" s="256">
        <v>27100</v>
      </c>
      <c r="F119" s="256">
        <v>28700</v>
      </c>
      <c r="G119" s="256">
        <v>29000</v>
      </c>
      <c r="H119" s="307">
        <v>28400</v>
      </c>
    </row>
    <row r="120" spans="2:8">
      <c r="B120" s="258" t="s">
        <v>376</v>
      </c>
      <c r="C120" s="256">
        <v>11700</v>
      </c>
      <c r="D120" s="256">
        <v>10900</v>
      </c>
      <c r="E120" s="256">
        <v>11800</v>
      </c>
      <c r="F120" s="256">
        <v>12000</v>
      </c>
      <c r="G120" s="256">
        <v>12300</v>
      </c>
      <c r="H120" s="307">
        <v>12100</v>
      </c>
    </row>
    <row r="121" spans="2:8" ht="25.5">
      <c r="B121" s="151" t="s">
        <v>377</v>
      </c>
      <c r="C121" s="256">
        <v>7500</v>
      </c>
      <c r="D121" s="256">
        <v>7500</v>
      </c>
      <c r="E121" s="256">
        <v>7800</v>
      </c>
      <c r="F121" s="256">
        <v>8600</v>
      </c>
      <c r="G121" s="256">
        <v>7900</v>
      </c>
      <c r="H121" s="307">
        <v>7600</v>
      </c>
    </row>
    <row r="122" spans="2:8">
      <c r="B122" s="151" t="s">
        <v>378</v>
      </c>
      <c r="C122" s="256">
        <v>3500</v>
      </c>
      <c r="D122" s="256">
        <v>3300</v>
      </c>
      <c r="E122" s="256">
        <v>3600</v>
      </c>
      <c r="F122" s="256">
        <v>3600</v>
      </c>
      <c r="G122" s="256">
        <v>3700</v>
      </c>
      <c r="H122" s="307">
        <v>4000</v>
      </c>
    </row>
    <row r="123" spans="2:8">
      <c r="B123" s="151" t="s">
        <v>379</v>
      </c>
      <c r="C123" s="256">
        <v>5300</v>
      </c>
      <c r="D123" s="256">
        <v>6100</v>
      </c>
      <c r="E123" s="256">
        <v>6200</v>
      </c>
      <c r="F123" s="256">
        <v>6300</v>
      </c>
      <c r="G123" s="256">
        <v>6200</v>
      </c>
      <c r="H123" s="307">
        <v>6000</v>
      </c>
    </row>
    <row r="124" spans="2:8">
      <c r="B124" s="151" t="s">
        <v>380</v>
      </c>
      <c r="C124" s="204">
        <v>300</v>
      </c>
      <c r="D124" s="204">
        <v>300</v>
      </c>
      <c r="E124" s="204">
        <v>300</v>
      </c>
      <c r="F124" s="204">
        <v>300</v>
      </c>
      <c r="G124" s="204">
        <v>300</v>
      </c>
      <c r="H124" s="307">
        <v>300</v>
      </c>
    </row>
    <row r="125" spans="2:8" ht="25.5">
      <c r="B125" s="151" t="s">
        <v>381</v>
      </c>
      <c r="C125" s="256">
        <v>2200</v>
      </c>
      <c r="D125" s="256">
        <v>2200</v>
      </c>
      <c r="E125" s="256">
        <v>2200</v>
      </c>
      <c r="F125" s="256">
        <v>2200</v>
      </c>
      <c r="G125" s="256">
        <v>2200</v>
      </c>
      <c r="H125" s="307">
        <v>2100</v>
      </c>
    </row>
    <row r="126" spans="2:8" ht="25.5">
      <c r="B126" s="151" t="s">
        <v>382</v>
      </c>
      <c r="C126" s="256">
        <v>6000</v>
      </c>
      <c r="D126" s="256">
        <v>6100</v>
      </c>
      <c r="E126" s="256">
        <v>6100</v>
      </c>
      <c r="F126" s="256">
        <v>6100</v>
      </c>
      <c r="G126" s="256">
        <v>6200</v>
      </c>
      <c r="H126" s="307">
        <v>5800</v>
      </c>
    </row>
    <row r="127" spans="2:8" ht="25.5">
      <c r="B127" s="151" t="s">
        <v>383</v>
      </c>
      <c r="C127" s="256">
        <v>28700</v>
      </c>
      <c r="D127" s="256">
        <v>27900</v>
      </c>
      <c r="E127" s="256">
        <v>27900</v>
      </c>
      <c r="F127" s="256">
        <v>28100</v>
      </c>
      <c r="G127" s="256">
        <v>32300</v>
      </c>
      <c r="H127" s="307">
        <v>35600</v>
      </c>
    </row>
    <row r="128" spans="2:8">
      <c r="B128" s="151" t="s">
        <v>384</v>
      </c>
      <c r="C128" s="256">
        <v>18400</v>
      </c>
      <c r="D128" s="256">
        <v>19100</v>
      </c>
      <c r="E128" s="256">
        <v>18800</v>
      </c>
      <c r="F128" s="256">
        <v>18700</v>
      </c>
      <c r="G128" s="256">
        <v>18800</v>
      </c>
      <c r="H128" s="307">
        <v>19400</v>
      </c>
    </row>
    <row r="129" spans="2:8">
      <c r="B129" s="151" t="s">
        <v>385</v>
      </c>
      <c r="C129" s="256">
        <v>16900</v>
      </c>
      <c r="D129" s="256">
        <v>15200</v>
      </c>
      <c r="E129" s="256">
        <v>16500</v>
      </c>
      <c r="F129" s="256">
        <v>15600</v>
      </c>
      <c r="G129" s="256">
        <v>17000</v>
      </c>
      <c r="H129" s="307">
        <v>17900</v>
      </c>
    </row>
    <row r="130" spans="2:8">
      <c r="B130" s="166" t="s">
        <v>386</v>
      </c>
      <c r="C130" s="256">
        <v>3100</v>
      </c>
      <c r="D130" s="256">
        <v>2900</v>
      </c>
      <c r="E130" s="256">
        <v>3100</v>
      </c>
      <c r="F130" s="256">
        <v>2900</v>
      </c>
      <c r="G130" s="256">
        <v>3300</v>
      </c>
      <c r="H130" s="307">
        <v>3300</v>
      </c>
    </row>
    <row r="131" spans="2:8" ht="51.75">
      <c r="B131" s="166" t="s">
        <v>387</v>
      </c>
      <c r="C131" s="256">
        <v>3000</v>
      </c>
      <c r="D131" s="256">
        <v>2700</v>
      </c>
      <c r="E131" s="256">
        <v>3000</v>
      </c>
      <c r="F131" s="256">
        <v>2800</v>
      </c>
      <c r="G131" s="256">
        <v>3100</v>
      </c>
      <c r="H131" s="307">
        <v>3100</v>
      </c>
    </row>
    <row r="132" spans="2:8" ht="26.25">
      <c r="B132" s="166" t="s">
        <v>388</v>
      </c>
      <c r="C132" s="256">
        <v>11000</v>
      </c>
      <c r="D132" s="256">
        <v>10200</v>
      </c>
      <c r="E132" s="256">
        <v>11100</v>
      </c>
      <c r="F132" s="256">
        <v>10300</v>
      </c>
      <c r="G132" s="256">
        <v>11700</v>
      </c>
      <c r="H132" s="307">
        <v>11500</v>
      </c>
    </row>
    <row r="133" spans="2:8">
      <c r="B133" s="151"/>
      <c r="C133" s="204">
        <v>100</v>
      </c>
      <c r="D133" s="204">
        <v>100</v>
      </c>
      <c r="E133" s="204">
        <v>100</v>
      </c>
      <c r="F133" s="204">
        <v>100</v>
      </c>
      <c r="G133" s="204">
        <v>100</v>
      </c>
      <c r="H133" s="307">
        <v>100</v>
      </c>
    </row>
    <row r="134" spans="2:8">
      <c r="B134" s="166" t="s">
        <v>520</v>
      </c>
      <c r="C134" s="308">
        <v>199100</v>
      </c>
      <c r="D134" s="308">
        <v>190200</v>
      </c>
      <c r="E134" s="308">
        <v>197100</v>
      </c>
      <c r="F134" s="308">
        <v>195900</v>
      </c>
      <c r="G134" s="308">
        <v>202200</v>
      </c>
      <c r="H134" s="306">
        <f>SUM(H113:H133)</f>
        <v>202700</v>
      </c>
    </row>
    <row r="135" spans="2:8" ht="15" customHeight="1">
      <c r="B135" s="162" t="s">
        <v>521</v>
      </c>
      <c r="C135" s="162"/>
    </row>
    <row r="136" spans="2:8">
      <c r="B136" s="162" t="s">
        <v>362</v>
      </c>
      <c r="C136" s="162" t="s">
        <v>87</v>
      </c>
    </row>
    <row r="137" spans="2:8">
      <c r="B137" s="162" t="s">
        <v>522</v>
      </c>
      <c r="C137" s="162"/>
    </row>
    <row r="138" spans="2:8">
      <c r="B138" s="162" t="s">
        <v>523</v>
      </c>
      <c r="C138" s="162"/>
    </row>
    <row r="140" spans="2:8" ht="18.75" customHeight="1">
      <c r="B140" s="542" t="s">
        <v>1471</v>
      </c>
      <c r="C140" s="542"/>
      <c r="D140" s="542"/>
      <c r="E140" s="542"/>
    </row>
    <row r="141" spans="2:8" ht="15.75">
      <c r="B141" s="543" t="s">
        <v>1457</v>
      </c>
      <c r="C141" s="543" t="s">
        <v>1458</v>
      </c>
      <c r="D141" s="543"/>
      <c r="E141" s="543" t="s">
        <v>306</v>
      </c>
    </row>
    <row r="142" spans="2:8" ht="15.75">
      <c r="B142" s="543"/>
      <c r="C142" s="309" t="s">
        <v>304</v>
      </c>
      <c r="D142" s="309" t="s">
        <v>305</v>
      </c>
      <c r="E142" s="543"/>
    </row>
    <row r="143" spans="2:8" ht="15.75">
      <c r="B143" s="310" t="s">
        <v>1459</v>
      </c>
      <c r="C143" s="310"/>
      <c r="D143" s="310"/>
      <c r="E143" s="311"/>
    </row>
    <row r="144" spans="2:8" ht="15.75">
      <c r="B144" s="312" t="s">
        <v>1460</v>
      </c>
      <c r="C144" s="312">
        <v>1</v>
      </c>
      <c r="D144" s="312">
        <v>4</v>
      </c>
      <c r="E144" s="313">
        <v>5</v>
      </c>
    </row>
    <row r="145" spans="2:5" ht="15.75">
      <c r="B145" s="310" t="s">
        <v>1461</v>
      </c>
      <c r="C145" s="310">
        <v>6</v>
      </c>
      <c r="D145" s="310">
        <v>16</v>
      </c>
      <c r="E145" s="311">
        <v>22</v>
      </c>
    </row>
    <row r="146" spans="2:5" ht="15.75">
      <c r="B146" s="312" t="s">
        <v>1462</v>
      </c>
      <c r="C146" s="312">
        <v>4</v>
      </c>
      <c r="D146" s="312">
        <v>17</v>
      </c>
      <c r="E146" s="313">
        <v>21</v>
      </c>
    </row>
    <row r="147" spans="2:5" ht="15.75">
      <c r="B147" s="310" t="s">
        <v>1463</v>
      </c>
      <c r="C147" s="310">
        <v>23</v>
      </c>
      <c r="D147" s="310">
        <v>184</v>
      </c>
      <c r="E147" s="311">
        <v>207</v>
      </c>
    </row>
    <row r="148" spans="2:5" ht="15.75">
      <c r="B148" s="312" t="s">
        <v>1464</v>
      </c>
      <c r="C148" s="312">
        <v>6</v>
      </c>
      <c r="D148" s="312">
        <v>53</v>
      </c>
      <c r="E148" s="313">
        <v>59</v>
      </c>
    </row>
    <row r="149" spans="2:5" ht="15.75">
      <c r="B149" s="310" t="s">
        <v>1465</v>
      </c>
      <c r="C149" s="310"/>
      <c r="D149" s="310"/>
      <c r="E149" s="311"/>
    </row>
    <row r="150" spans="2:5" ht="15.75">
      <c r="B150" s="312" t="s">
        <v>1466</v>
      </c>
      <c r="C150" s="312">
        <v>9</v>
      </c>
      <c r="D150" s="312">
        <v>2</v>
      </c>
      <c r="E150" s="313">
        <v>11</v>
      </c>
    </row>
    <row r="151" spans="2:5" ht="15.75">
      <c r="B151" s="310" t="s">
        <v>1467</v>
      </c>
      <c r="C151" s="310">
        <v>6</v>
      </c>
      <c r="D151" s="310"/>
      <c r="E151" s="311">
        <v>6</v>
      </c>
    </row>
    <row r="152" spans="2:5" ht="15.75">
      <c r="B152" s="312" t="s">
        <v>1468</v>
      </c>
      <c r="C152" s="312"/>
      <c r="D152" s="312">
        <v>7</v>
      </c>
      <c r="E152" s="313">
        <v>7</v>
      </c>
    </row>
    <row r="153" spans="2:5" ht="15.75">
      <c r="B153" s="310" t="s">
        <v>1469</v>
      </c>
      <c r="C153" s="310">
        <v>1</v>
      </c>
      <c r="D153" s="310"/>
      <c r="E153" s="311">
        <v>1</v>
      </c>
    </row>
    <row r="154" spans="2:5" ht="15.75">
      <c r="B154" s="313" t="s">
        <v>479</v>
      </c>
      <c r="C154" s="313">
        <v>56</v>
      </c>
      <c r="D154" s="313">
        <v>283</v>
      </c>
      <c r="E154" s="313">
        <v>339</v>
      </c>
    </row>
    <row r="155" spans="2:5">
      <c r="B155" s="314" t="s">
        <v>1470</v>
      </c>
    </row>
  </sheetData>
  <mergeCells count="35">
    <mergeCell ref="L9:X9"/>
    <mergeCell ref="B5:J5"/>
    <mergeCell ref="E29:E30"/>
    <mergeCell ref="F29:G29"/>
    <mergeCell ref="H29:H30"/>
    <mergeCell ref="I29:J29"/>
    <mergeCell ref="K29:K30"/>
    <mergeCell ref="S10:U10"/>
    <mergeCell ref="L10:L11"/>
    <mergeCell ref="M10:O10"/>
    <mergeCell ref="P10:R10"/>
    <mergeCell ref="B3:J3"/>
    <mergeCell ref="B4:J4"/>
    <mergeCell ref="B2:J2"/>
    <mergeCell ref="B26:F26"/>
    <mergeCell ref="B7:E7"/>
    <mergeCell ref="B9:J9"/>
    <mergeCell ref="B23:D23"/>
    <mergeCell ref="B10:B11"/>
    <mergeCell ref="B140:E140"/>
    <mergeCell ref="B141:B142"/>
    <mergeCell ref="C141:D141"/>
    <mergeCell ref="E141:E142"/>
    <mergeCell ref="V10:X10"/>
    <mergeCell ref="B27:K27"/>
    <mergeCell ref="B28:B30"/>
    <mergeCell ref="C28:E28"/>
    <mergeCell ref="F28:H28"/>
    <mergeCell ref="I28:K28"/>
    <mergeCell ref="C29:D29"/>
    <mergeCell ref="B83:G83"/>
    <mergeCell ref="B48:E48"/>
    <mergeCell ref="B50:G50"/>
    <mergeCell ref="B86:I86"/>
    <mergeCell ref="B111:H111"/>
  </mergeCells>
  <hyperlinks>
    <hyperlink ref="C136" r:id="rId1" xr:uid="{9E668FDC-5EE6-41B9-AB4B-9BF4A0B87E87}"/>
    <hyperlink ref="C107" r:id="rId2" xr:uid="{D75AA281-53CC-43F3-8E1F-711BD6DC6E36}"/>
    <hyperlink ref="C80" r:id="rId3" xr:uid="{4E56E131-E783-4245-B47A-8434624352BB}"/>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P71"/>
  <sheetViews>
    <sheetView zoomScale="80" zoomScaleNormal="80" workbookViewId="0">
      <selection activeCell="G72" sqref="G72"/>
    </sheetView>
  </sheetViews>
  <sheetFormatPr defaultRowHeight="15"/>
  <cols>
    <col min="2" max="2" width="12" customWidth="1"/>
    <col min="3" max="3" width="8.7109375" customWidth="1"/>
    <col min="4" max="4" width="12.7109375" customWidth="1"/>
    <col min="5" max="5" width="10.5703125" customWidth="1"/>
    <col min="6" max="6" width="8.7109375" customWidth="1"/>
    <col min="7" max="7" width="10.85546875" customWidth="1"/>
    <col min="8" max="8" width="12" customWidth="1"/>
    <col min="9" max="9" width="10.85546875" customWidth="1"/>
    <col min="10" max="10" width="11.85546875" customWidth="1"/>
    <col min="11" max="11" width="7.42578125" bestFit="1" customWidth="1"/>
    <col min="12" max="12" width="10" customWidth="1"/>
    <col min="13" max="13" width="9.5703125" customWidth="1"/>
    <col min="14" max="14" width="11.140625" customWidth="1"/>
    <col min="15" max="16" width="8.7109375" customWidth="1"/>
  </cols>
  <sheetData>
    <row r="2" spans="2:16">
      <c r="B2" s="566" t="s">
        <v>100</v>
      </c>
      <c r="C2" s="566"/>
      <c r="D2" s="566"/>
      <c r="E2" s="566"/>
      <c r="F2" s="566"/>
      <c r="G2" s="566"/>
      <c r="H2" s="566"/>
      <c r="I2" s="566"/>
      <c r="J2" s="566"/>
      <c r="K2" s="566"/>
      <c r="L2" s="566"/>
      <c r="M2" s="566"/>
    </row>
    <row r="3" spans="2:16" ht="43.5" customHeight="1">
      <c r="B3" s="567" t="s">
        <v>102</v>
      </c>
      <c r="C3" s="568"/>
      <c r="D3" s="568"/>
      <c r="E3" s="568"/>
      <c r="F3" s="568"/>
      <c r="G3" s="568"/>
      <c r="H3" s="568"/>
      <c r="I3" s="568"/>
      <c r="J3" s="568"/>
      <c r="K3" s="568"/>
      <c r="L3" s="568"/>
      <c r="M3" s="569"/>
    </row>
    <row r="4" spans="2:16" ht="24" customHeight="1">
      <c r="B4" s="86"/>
      <c r="C4" s="86"/>
      <c r="D4" s="86"/>
      <c r="E4" s="86"/>
      <c r="F4" s="86"/>
      <c r="G4" s="86"/>
      <c r="H4" s="86"/>
      <c r="I4" s="86"/>
      <c r="J4" s="86"/>
      <c r="K4" s="86"/>
      <c r="L4" s="86"/>
      <c r="M4" s="86"/>
    </row>
    <row r="5" spans="2:16" ht="24" customHeight="1">
      <c r="B5" s="587" t="s">
        <v>524</v>
      </c>
      <c r="C5" s="587"/>
      <c r="D5" s="587"/>
      <c r="E5" s="587"/>
      <c r="F5" s="587"/>
      <c r="G5" s="587"/>
      <c r="H5" s="587"/>
      <c r="I5" s="86"/>
      <c r="J5" s="86"/>
      <c r="K5" s="86"/>
      <c r="L5" s="86"/>
      <c r="M5" s="86"/>
    </row>
    <row r="6" spans="2:16" ht="24" customHeight="1">
      <c r="B6" s="86"/>
      <c r="C6" s="86"/>
      <c r="D6" s="86"/>
      <c r="E6" s="86"/>
      <c r="F6" s="86"/>
      <c r="G6" s="86"/>
      <c r="H6" s="86"/>
      <c r="I6" s="86"/>
      <c r="J6" s="86"/>
      <c r="K6" s="86"/>
      <c r="L6" s="86"/>
      <c r="M6" s="86"/>
    </row>
    <row r="7" spans="2:16" ht="24" customHeight="1">
      <c r="B7" s="573" t="s">
        <v>525</v>
      </c>
      <c r="C7" s="573"/>
      <c r="D7" s="573"/>
      <c r="E7" s="134" t="s">
        <v>526</v>
      </c>
      <c r="F7" s="134"/>
      <c r="G7" s="573" t="s">
        <v>527</v>
      </c>
      <c r="H7" s="573"/>
      <c r="I7" s="573"/>
      <c r="J7" s="588" t="s">
        <v>528</v>
      </c>
      <c r="K7" s="589"/>
      <c r="L7" s="590"/>
    </row>
    <row r="8" spans="2:16" ht="19.5" customHeight="1">
      <c r="B8" s="81" t="s">
        <v>449</v>
      </c>
      <c r="C8" s="81">
        <v>2004</v>
      </c>
      <c r="D8" s="81">
        <v>2012</v>
      </c>
      <c r="E8" s="81">
        <v>2004</v>
      </c>
      <c r="F8" s="81">
        <v>2012</v>
      </c>
      <c r="G8" s="102" t="s">
        <v>529</v>
      </c>
      <c r="H8" s="81">
        <v>2004</v>
      </c>
      <c r="I8" s="81">
        <v>2012</v>
      </c>
      <c r="J8" s="1"/>
      <c r="K8" s="1">
        <v>2004</v>
      </c>
      <c r="L8" s="1">
        <v>2012</v>
      </c>
    </row>
    <row r="9" spans="2:16" ht="19.5" customHeight="1">
      <c r="B9" s="81" t="s">
        <v>454</v>
      </c>
      <c r="C9" s="81">
        <v>6234</v>
      </c>
      <c r="D9" s="81">
        <v>4279</v>
      </c>
      <c r="E9" s="81">
        <v>28817</v>
      </c>
      <c r="F9" s="81">
        <v>30601</v>
      </c>
      <c r="G9" s="7" t="s">
        <v>454</v>
      </c>
      <c r="H9" s="93">
        <v>46956</v>
      </c>
      <c r="I9" s="94">
        <v>45394</v>
      </c>
      <c r="J9" s="1"/>
      <c r="K9" s="1"/>
      <c r="L9" s="1"/>
    </row>
    <row r="10" spans="2:16" ht="19.5" customHeight="1">
      <c r="B10" s="81" t="s">
        <v>455</v>
      </c>
      <c r="C10" s="81">
        <v>16514</v>
      </c>
      <c r="D10" s="81">
        <v>17920</v>
      </c>
      <c r="E10" s="81">
        <v>11260</v>
      </c>
      <c r="F10" s="81">
        <v>11106</v>
      </c>
      <c r="G10" s="7" t="s">
        <v>455</v>
      </c>
      <c r="H10" s="93">
        <v>44267</v>
      </c>
      <c r="I10" s="94">
        <v>44038</v>
      </c>
      <c r="J10" s="1"/>
      <c r="K10" s="1"/>
      <c r="L10" s="1"/>
    </row>
    <row r="11" spans="2:16" ht="19.5" customHeight="1">
      <c r="B11" s="81" t="s">
        <v>530</v>
      </c>
      <c r="C11" s="81">
        <f>SUM(C9:C10)</f>
        <v>22748</v>
      </c>
      <c r="D11" s="81">
        <f>SUM(D9:D10)</f>
        <v>22199</v>
      </c>
      <c r="E11" s="81">
        <f>SUM(E8:E10)</f>
        <v>42081</v>
      </c>
      <c r="F11" s="81">
        <f>SUM(F9:F10)</f>
        <v>41707</v>
      </c>
      <c r="G11" s="82" t="s">
        <v>530</v>
      </c>
      <c r="H11" s="98">
        <f>SUM(H9:H10)</f>
        <v>91223</v>
      </c>
      <c r="I11" s="98">
        <f>SUM(I9:I10)</f>
        <v>89432</v>
      </c>
      <c r="J11" s="1" t="s">
        <v>531</v>
      </c>
      <c r="K11" s="3">
        <f>(H11-C11-F11)/H11*100</f>
        <v>29.343476974008748</v>
      </c>
      <c r="L11" s="3">
        <f>(I11-D11-F11)/I11*100</f>
        <v>28.542356203596032</v>
      </c>
    </row>
    <row r="12" spans="2:16">
      <c r="B12" s="583" t="s">
        <v>532</v>
      </c>
      <c r="C12" s="583"/>
      <c r="D12" s="583"/>
      <c r="E12" s="583"/>
      <c r="F12" s="83"/>
      <c r="G12" s="103"/>
      <c r="H12" s="104"/>
      <c r="I12" s="104"/>
      <c r="L12" s="105"/>
      <c r="M12" s="105"/>
    </row>
    <row r="13" spans="2:16" ht="24" customHeight="1"/>
    <row r="14" spans="2:16" ht="18" customHeight="1">
      <c r="B14" s="570" t="s">
        <v>533</v>
      </c>
      <c r="C14" s="570"/>
      <c r="D14" s="570"/>
      <c r="E14" s="570"/>
      <c r="F14" s="570"/>
      <c r="G14" s="86"/>
      <c r="I14" s="86"/>
      <c r="J14" s="86"/>
      <c r="K14" s="86"/>
      <c r="L14" s="86"/>
      <c r="M14" s="86"/>
    </row>
    <row r="16" spans="2:16" ht="16.5" customHeight="1">
      <c r="B16" s="12"/>
      <c r="C16" s="17"/>
      <c r="D16" s="572" t="s">
        <v>534</v>
      </c>
      <c r="E16" s="572"/>
      <c r="F16" s="12"/>
      <c r="G16" s="574" t="s">
        <v>535</v>
      </c>
      <c r="H16" s="575"/>
      <c r="I16" s="575"/>
      <c r="J16" s="575"/>
      <c r="K16" s="575"/>
      <c r="L16" s="576"/>
      <c r="M16" s="12"/>
      <c r="N16" s="18"/>
      <c r="O16" s="18"/>
      <c r="P16" s="12"/>
    </row>
    <row r="17" spans="2:16" ht="38.25" customHeight="1">
      <c r="B17" s="11" t="s">
        <v>536</v>
      </c>
      <c r="C17" s="17"/>
      <c r="D17" s="11" t="s">
        <v>449</v>
      </c>
      <c r="E17" s="11" t="s">
        <v>537</v>
      </c>
      <c r="F17" s="11" t="s">
        <v>538</v>
      </c>
      <c r="G17" s="11" t="s">
        <v>476</v>
      </c>
      <c r="H17" s="11" t="s">
        <v>475</v>
      </c>
      <c r="I17" s="11" t="s">
        <v>539</v>
      </c>
      <c r="J17" s="11" t="s">
        <v>540</v>
      </c>
      <c r="K17" s="11" t="s">
        <v>541</v>
      </c>
      <c r="L17" s="11" t="s">
        <v>542</v>
      </c>
      <c r="M17" s="11" t="s">
        <v>538</v>
      </c>
      <c r="N17" s="11" t="s">
        <v>543</v>
      </c>
      <c r="O17" s="18"/>
      <c r="P17" s="18" t="s">
        <v>306</v>
      </c>
    </row>
    <row r="18" spans="2:16">
      <c r="B18" s="577" t="s">
        <v>544</v>
      </c>
      <c r="C18" s="2">
        <v>2005</v>
      </c>
      <c r="D18" s="87">
        <v>3247</v>
      </c>
      <c r="E18" s="87">
        <v>1523</v>
      </c>
      <c r="F18" s="87">
        <v>4770</v>
      </c>
      <c r="G18" s="87">
        <v>1290</v>
      </c>
      <c r="H18" s="87">
        <v>23885</v>
      </c>
      <c r="I18" s="2">
        <v>115</v>
      </c>
      <c r="J18" s="87">
        <v>1832</v>
      </c>
      <c r="K18" s="2" t="s">
        <v>545</v>
      </c>
      <c r="L18" s="2">
        <v>94</v>
      </c>
      <c r="M18" s="87">
        <v>27216</v>
      </c>
      <c r="N18" s="2">
        <v>23</v>
      </c>
      <c r="O18" s="2" t="s">
        <v>545</v>
      </c>
      <c r="P18" s="87">
        <v>32009</v>
      </c>
    </row>
    <row r="19" spans="2:16">
      <c r="B19" s="578"/>
      <c r="C19" s="2">
        <v>2006</v>
      </c>
      <c r="D19" s="87">
        <v>3780</v>
      </c>
      <c r="E19" s="87">
        <v>1723</v>
      </c>
      <c r="F19" s="87">
        <v>5503</v>
      </c>
      <c r="G19" s="87">
        <v>1194</v>
      </c>
      <c r="H19" s="87">
        <v>23839</v>
      </c>
      <c r="I19" s="2">
        <v>150</v>
      </c>
      <c r="J19" s="87">
        <v>1632</v>
      </c>
      <c r="K19" s="2" t="s">
        <v>545</v>
      </c>
      <c r="L19" s="2">
        <v>36</v>
      </c>
      <c r="M19" s="87">
        <v>26851</v>
      </c>
      <c r="N19" s="2">
        <v>126</v>
      </c>
      <c r="O19" s="2" t="s">
        <v>545</v>
      </c>
      <c r="P19" s="87">
        <v>32480</v>
      </c>
    </row>
    <row r="20" spans="2:16">
      <c r="B20" s="578"/>
      <c r="C20" s="2">
        <v>2007</v>
      </c>
      <c r="D20" s="87">
        <v>2943</v>
      </c>
      <c r="E20" s="87">
        <v>1655</v>
      </c>
      <c r="F20" s="87">
        <v>4598</v>
      </c>
      <c r="G20" s="87">
        <v>1058</v>
      </c>
      <c r="H20" s="87">
        <v>25295</v>
      </c>
      <c r="I20" s="2">
        <v>71</v>
      </c>
      <c r="J20" s="87">
        <v>1717</v>
      </c>
      <c r="K20" s="2" t="s">
        <v>545</v>
      </c>
      <c r="L20" s="2">
        <v>39</v>
      </c>
      <c r="M20" s="87">
        <v>28180</v>
      </c>
      <c r="N20" s="2">
        <v>46</v>
      </c>
      <c r="O20" s="2" t="s">
        <v>545</v>
      </c>
      <c r="P20" s="87">
        <v>32824</v>
      </c>
    </row>
    <row r="21" spans="2:16">
      <c r="B21" s="578"/>
      <c r="C21" s="2">
        <v>2008</v>
      </c>
      <c r="D21" s="87">
        <v>3373</v>
      </c>
      <c r="E21" s="87">
        <v>1264</v>
      </c>
      <c r="F21" s="87">
        <v>4637</v>
      </c>
      <c r="G21" s="87">
        <v>1419</v>
      </c>
      <c r="H21" s="87">
        <v>25068</v>
      </c>
      <c r="I21" s="2">
        <v>99</v>
      </c>
      <c r="J21" s="87">
        <v>1405</v>
      </c>
      <c r="K21" s="2" t="s">
        <v>545</v>
      </c>
      <c r="L21" s="2">
        <v>154</v>
      </c>
      <c r="M21" s="87">
        <v>28145</v>
      </c>
      <c r="N21" s="2">
        <v>62</v>
      </c>
      <c r="O21" s="2" t="s">
        <v>545</v>
      </c>
      <c r="P21" s="87">
        <v>32844</v>
      </c>
    </row>
    <row r="22" spans="2:16">
      <c r="B22" s="578"/>
      <c r="C22" s="2">
        <v>2009</v>
      </c>
      <c r="D22" s="2">
        <v>3203</v>
      </c>
      <c r="E22" s="2">
        <v>1168</v>
      </c>
      <c r="F22" s="2">
        <v>4371</v>
      </c>
      <c r="G22" s="2">
        <v>1017</v>
      </c>
      <c r="H22" s="2">
        <v>25421</v>
      </c>
      <c r="I22" s="2">
        <v>212</v>
      </c>
      <c r="J22" s="2">
        <v>2100</v>
      </c>
      <c r="K22" s="2" t="s">
        <v>545</v>
      </c>
      <c r="L22" s="2">
        <v>24</v>
      </c>
      <c r="M22" s="2">
        <v>28774</v>
      </c>
      <c r="N22" s="2" t="s">
        <v>545</v>
      </c>
      <c r="O22" s="2">
        <v>27</v>
      </c>
      <c r="P22" s="2">
        <v>33173</v>
      </c>
    </row>
    <row r="23" spans="2:16">
      <c r="B23" s="578"/>
      <c r="C23" s="2">
        <v>2010</v>
      </c>
      <c r="D23" s="2">
        <v>3879</v>
      </c>
      <c r="E23" s="2">
        <v>679</v>
      </c>
      <c r="F23" s="2">
        <v>4559</v>
      </c>
      <c r="G23" s="2">
        <v>1537</v>
      </c>
      <c r="H23" s="2">
        <v>25585</v>
      </c>
      <c r="I23" s="2">
        <v>90</v>
      </c>
      <c r="J23" s="2">
        <v>1805</v>
      </c>
      <c r="K23" s="2" t="s">
        <v>545</v>
      </c>
      <c r="L23" s="2">
        <v>70</v>
      </c>
      <c r="M23" s="2">
        <v>29085</v>
      </c>
      <c r="N23" s="2" t="s">
        <v>545</v>
      </c>
      <c r="O23" s="2" t="s">
        <v>545</v>
      </c>
      <c r="P23" s="2">
        <v>33644</v>
      </c>
    </row>
    <row r="24" spans="2:16">
      <c r="B24" s="578"/>
      <c r="C24" s="2">
        <v>2011</v>
      </c>
      <c r="D24" s="5">
        <v>2304</v>
      </c>
      <c r="E24" s="88">
        <v>872</v>
      </c>
      <c r="F24" s="5">
        <v>3176</v>
      </c>
      <c r="G24" s="5">
        <v>1270</v>
      </c>
      <c r="H24" s="5">
        <v>23678</v>
      </c>
      <c r="I24" s="88">
        <v>212</v>
      </c>
      <c r="J24" s="5">
        <v>1026</v>
      </c>
      <c r="K24" s="2"/>
      <c r="L24" s="88">
        <v>14</v>
      </c>
      <c r="M24" s="5">
        <v>26200</v>
      </c>
      <c r="N24" s="88" t="s">
        <v>545</v>
      </c>
      <c r="O24" s="88" t="s">
        <v>545</v>
      </c>
      <c r="P24" s="5">
        <v>29376</v>
      </c>
    </row>
    <row r="25" spans="2:16">
      <c r="B25" s="578"/>
      <c r="C25" s="2">
        <v>2012</v>
      </c>
      <c r="D25" s="5">
        <v>2813</v>
      </c>
      <c r="E25" s="5">
        <v>1040</v>
      </c>
      <c r="F25" s="5">
        <v>3853</v>
      </c>
      <c r="G25" s="88">
        <v>677</v>
      </c>
      <c r="H25" s="5">
        <v>23403</v>
      </c>
      <c r="I25" s="88">
        <v>167</v>
      </c>
      <c r="J25" s="88">
        <v>540</v>
      </c>
      <c r="K25" s="2"/>
      <c r="L25" s="88">
        <v>350</v>
      </c>
      <c r="M25" s="5">
        <v>25136</v>
      </c>
      <c r="N25" s="5">
        <v>1320</v>
      </c>
      <c r="O25" s="88" t="s">
        <v>545</v>
      </c>
      <c r="P25" s="5">
        <v>30309</v>
      </c>
    </row>
    <row r="26" spans="2:16">
      <c r="B26" s="578"/>
      <c r="C26" s="2">
        <v>2013</v>
      </c>
      <c r="D26" s="5">
        <v>2529</v>
      </c>
      <c r="E26" s="88">
        <v>713</v>
      </c>
      <c r="F26" s="5">
        <v>3242</v>
      </c>
      <c r="G26" s="5">
        <v>1452</v>
      </c>
      <c r="H26" s="5">
        <v>23818</v>
      </c>
      <c r="I26" s="88">
        <v>328</v>
      </c>
      <c r="J26" s="5">
        <v>1257</v>
      </c>
      <c r="K26" s="2"/>
      <c r="L26" s="88" t="s">
        <v>545</v>
      </c>
      <c r="M26" s="5">
        <v>26854</v>
      </c>
      <c r="N26" s="88" t="s">
        <v>545</v>
      </c>
      <c r="O26" s="88" t="s">
        <v>545</v>
      </c>
      <c r="P26" s="5">
        <v>30096</v>
      </c>
    </row>
    <row r="27" spans="2:16">
      <c r="B27" s="578"/>
      <c r="C27" s="2">
        <v>2014</v>
      </c>
      <c r="D27" s="5">
        <v>3170</v>
      </c>
      <c r="E27" s="88">
        <v>421</v>
      </c>
      <c r="F27" s="5">
        <v>3591</v>
      </c>
      <c r="G27" s="5">
        <v>1110</v>
      </c>
      <c r="H27" s="5">
        <v>23298</v>
      </c>
      <c r="I27" s="88">
        <v>219</v>
      </c>
      <c r="J27" s="5">
        <v>2079</v>
      </c>
      <c r="K27" s="2"/>
      <c r="L27" s="88">
        <v>71</v>
      </c>
      <c r="M27" s="5">
        <v>26777</v>
      </c>
      <c r="N27" s="88" t="s">
        <v>545</v>
      </c>
      <c r="O27" s="88" t="s">
        <v>545</v>
      </c>
      <c r="P27" s="5">
        <v>30368</v>
      </c>
    </row>
    <row r="28" spans="2:16">
      <c r="B28" s="578"/>
      <c r="C28" s="2">
        <v>2015</v>
      </c>
      <c r="D28" s="87">
        <v>3169</v>
      </c>
      <c r="E28" s="87">
        <v>1004</v>
      </c>
      <c r="F28" s="87">
        <v>4173</v>
      </c>
      <c r="G28" s="87">
        <v>1565</v>
      </c>
      <c r="H28" s="87">
        <v>24666</v>
      </c>
      <c r="I28" s="2">
        <v>415</v>
      </c>
      <c r="J28" s="87">
        <v>1175</v>
      </c>
      <c r="K28" s="2"/>
      <c r="L28" s="2">
        <v>29</v>
      </c>
      <c r="M28" s="89">
        <v>27850</v>
      </c>
      <c r="N28" s="2" t="s">
        <v>545</v>
      </c>
      <c r="O28" s="2" t="s">
        <v>545</v>
      </c>
      <c r="P28" s="87">
        <v>32023</v>
      </c>
    </row>
    <row r="29" spans="2:16">
      <c r="B29" s="578"/>
      <c r="C29" s="2">
        <v>2016</v>
      </c>
      <c r="D29" s="87">
        <v>2242</v>
      </c>
      <c r="E29" s="87">
        <v>1525</v>
      </c>
      <c r="F29" s="87">
        <v>3767</v>
      </c>
      <c r="G29" s="87">
        <v>1074</v>
      </c>
      <c r="H29" s="87">
        <v>27410</v>
      </c>
      <c r="I29" s="2">
        <v>320</v>
      </c>
      <c r="J29" s="87">
        <v>1983</v>
      </c>
      <c r="K29" s="2"/>
      <c r="L29" s="2" t="s">
        <v>545</v>
      </c>
      <c r="M29" s="89">
        <v>30787</v>
      </c>
      <c r="N29" s="2" t="s">
        <v>545</v>
      </c>
      <c r="O29" s="2" t="s">
        <v>545</v>
      </c>
      <c r="P29" s="87">
        <v>34554</v>
      </c>
    </row>
    <row r="30" spans="2:16">
      <c r="B30" s="578"/>
      <c r="C30" s="2">
        <v>2017</v>
      </c>
      <c r="D30" s="87">
        <v>3236</v>
      </c>
      <c r="E30" s="87">
        <v>905</v>
      </c>
      <c r="F30" s="87">
        <v>4141</v>
      </c>
      <c r="G30" s="87">
        <v>1493</v>
      </c>
      <c r="H30" s="87">
        <v>25216</v>
      </c>
      <c r="I30" s="2">
        <v>250</v>
      </c>
      <c r="J30" s="87">
        <v>1735</v>
      </c>
      <c r="K30" s="2"/>
      <c r="L30" s="2">
        <v>71</v>
      </c>
      <c r="M30" s="89">
        <v>28765</v>
      </c>
      <c r="N30" s="2"/>
      <c r="O30" s="2"/>
      <c r="P30" s="87">
        <f>F30+M30</f>
        <v>32906</v>
      </c>
    </row>
    <row r="31" spans="2:16">
      <c r="B31" s="578"/>
      <c r="C31" s="2">
        <v>2018</v>
      </c>
      <c r="D31" s="87">
        <v>2955</v>
      </c>
      <c r="E31" s="87">
        <v>1179</v>
      </c>
      <c r="F31" s="87">
        <v>4143</v>
      </c>
      <c r="G31" s="87">
        <v>86</v>
      </c>
      <c r="H31" s="87">
        <v>23246</v>
      </c>
      <c r="I31" s="2">
        <v>305</v>
      </c>
      <c r="J31" s="87">
        <v>2447</v>
      </c>
      <c r="K31" s="2"/>
      <c r="L31" s="2">
        <v>134</v>
      </c>
      <c r="M31" s="89">
        <v>26218</v>
      </c>
      <c r="N31" s="2"/>
      <c r="O31" s="2"/>
      <c r="P31" s="87">
        <v>30352</v>
      </c>
    </row>
    <row r="32" spans="2:16">
      <c r="B32" s="90"/>
      <c r="C32" s="579"/>
      <c r="D32" s="580"/>
      <c r="E32" s="580"/>
      <c r="F32" s="580"/>
      <c r="G32" s="580"/>
      <c r="H32" s="580"/>
      <c r="I32" s="580"/>
      <c r="J32" s="580"/>
      <c r="K32" s="580"/>
      <c r="L32" s="580"/>
      <c r="M32" s="580"/>
      <c r="N32" s="580"/>
      <c r="O32" s="580"/>
      <c r="P32" s="581"/>
    </row>
    <row r="33" spans="2:16">
      <c r="B33" s="577" t="s">
        <v>455</v>
      </c>
      <c r="C33" s="2">
        <v>2005</v>
      </c>
      <c r="D33" s="87">
        <v>12847</v>
      </c>
      <c r="E33" s="87">
        <v>3739</v>
      </c>
      <c r="F33" s="87">
        <v>16586</v>
      </c>
      <c r="G33" s="87">
        <v>3189</v>
      </c>
      <c r="H33" s="87">
        <v>8869</v>
      </c>
      <c r="I33" s="2">
        <v>445</v>
      </c>
      <c r="J33" s="87">
        <v>1692</v>
      </c>
      <c r="K33" s="2" t="s">
        <v>545</v>
      </c>
      <c r="L33" s="2">
        <v>227</v>
      </c>
      <c r="M33" s="87">
        <v>14422</v>
      </c>
      <c r="N33" s="2">
        <v>103</v>
      </c>
      <c r="O33" s="2" t="s">
        <v>545</v>
      </c>
      <c r="P33" s="87">
        <v>31111</v>
      </c>
    </row>
    <row r="34" spans="2:16">
      <c r="B34" s="578"/>
      <c r="C34" s="2">
        <v>2006</v>
      </c>
      <c r="D34" s="87">
        <v>13183</v>
      </c>
      <c r="E34" s="87">
        <v>3792</v>
      </c>
      <c r="F34" s="87">
        <v>16975</v>
      </c>
      <c r="G34" s="87">
        <v>3048</v>
      </c>
      <c r="H34" s="87">
        <v>9245</v>
      </c>
      <c r="I34" s="2">
        <v>171</v>
      </c>
      <c r="J34" s="87">
        <v>1939</v>
      </c>
      <c r="K34" s="2" t="s">
        <v>545</v>
      </c>
      <c r="L34" s="2">
        <v>165</v>
      </c>
      <c r="M34" s="87">
        <v>14568</v>
      </c>
      <c r="N34" s="2">
        <v>26</v>
      </c>
      <c r="O34" s="2" t="s">
        <v>545</v>
      </c>
      <c r="P34" s="87">
        <v>31569</v>
      </c>
    </row>
    <row r="35" spans="2:16">
      <c r="B35" s="578"/>
      <c r="C35" s="2">
        <v>2007</v>
      </c>
      <c r="D35" s="87">
        <v>13767</v>
      </c>
      <c r="E35" s="87">
        <v>3764</v>
      </c>
      <c r="F35" s="87">
        <v>17531</v>
      </c>
      <c r="G35" s="87">
        <v>2573</v>
      </c>
      <c r="H35" s="87">
        <v>9486</v>
      </c>
      <c r="I35" s="2">
        <v>232</v>
      </c>
      <c r="J35" s="87">
        <v>1674</v>
      </c>
      <c r="K35" s="2" t="s">
        <v>545</v>
      </c>
      <c r="L35" s="2">
        <v>187</v>
      </c>
      <c r="M35" s="87">
        <v>14152</v>
      </c>
      <c r="N35" s="2">
        <v>162</v>
      </c>
      <c r="O35" s="2">
        <v>59</v>
      </c>
      <c r="P35" s="87">
        <v>31904</v>
      </c>
    </row>
    <row r="36" spans="2:16">
      <c r="B36" s="578"/>
      <c r="C36" s="2">
        <v>2008</v>
      </c>
      <c r="D36" s="87">
        <v>13710</v>
      </c>
      <c r="E36" s="87">
        <v>3595</v>
      </c>
      <c r="F36" s="87">
        <v>17305</v>
      </c>
      <c r="G36" s="87">
        <v>2434</v>
      </c>
      <c r="H36" s="87">
        <v>9063</v>
      </c>
      <c r="I36" s="2">
        <v>133</v>
      </c>
      <c r="J36" s="87">
        <v>1690</v>
      </c>
      <c r="K36" s="2" t="s">
        <v>545</v>
      </c>
      <c r="L36" s="2">
        <v>508</v>
      </c>
      <c r="M36" s="87">
        <v>13828</v>
      </c>
      <c r="N36" s="2">
        <v>203</v>
      </c>
      <c r="O36" s="2">
        <v>587</v>
      </c>
      <c r="P36" s="87">
        <v>31923</v>
      </c>
    </row>
    <row r="37" spans="2:16">
      <c r="B37" s="578"/>
      <c r="C37" s="2">
        <v>2009</v>
      </c>
      <c r="D37" s="2">
        <v>14106</v>
      </c>
      <c r="E37" s="2">
        <v>3182</v>
      </c>
      <c r="F37" s="2">
        <v>17288</v>
      </c>
      <c r="G37" s="2">
        <v>3040</v>
      </c>
      <c r="H37" s="2">
        <v>9507</v>
      </c>
      <c r="I37" s="2">
        <v>281</v>
      </c>
      <c r="J37" s="2">
        <v>2028</v>
      </c>
      <c r="K37" s="2" t="s">
        <v>545</v>
      </c>
      <c r="L37" s="2">
        <v>74</v>
      </c>
      <c r="M37" s="2">
        <v>14931</v>
      </c>
      <c r="N37" s="2">
        <v>23</v>
      </c>
      <c r="O37" s="2" t="s">
        <v>545</v>
      </c>
      <c r="P37" s="2">
        <v>32242</v>
      </c>
    </row>
    <row r="38" spans="2:16">
      <c r="B38" s="578"/>
      <c r="C38" s="2">
        <v>2010</v>
      </c>
      <c r="D38" s="2">
        <v>15327</v>
      </c>
      <c r="E38" s="2">
        <v>2285</v>
      </c>
      <c r="F38" s="2">
        <v>17612</v>
      </c>
      <c r="G38" s="2">
        <v>2840</v>
      </c>
      <c r="H38" s="2">
        <v>9814</v>
      </c>
      <c r="I38" s="2">
        <v>631</v>
      </c>
      <c r="J38" s="2">
        <v>1745</v>
      </c>
      <c r="K38" s="2" t="s">
        <v>545</v>
      </c>
      <c r="L38" s="2">
        <v>58</v>
      </c>
      <c r="M38" s="2">
        <v>15088</v>
      </c>
      <c r="N38" s="2" t="s">
        <v>545</v>
      </c>
      <c r="O38" s="2" t="s">
        <v>545</v>
      </c>
      <c r="P38" s="2">
        <v>32700</v>
      </c>
    </row>
    <row r="39" spans="2:16">
      <c r="B39" s="578"/>
      <c r="C39" s="2">
        <v>2011</v>
      </c>
      <c r="D39" s="5">
        <v>13381</v>
      </c>
      <c r="E39" s="5">
        <v>3053</v>
      </c>
      <c r="F39" s="5">
        <v>16434</v>
      </c>
      <c r="G39" s="5">
        <v>3178</v>
      </c>
      <c r="H39" s="5">
        <v>9552</v>
      </c>
      <c r="I39" s="88">
        <v>387</v>
      </c>
      <c r="J39" s="88">
        <v>888</v>
      </c>
      <c r="K39" s="2"/>
      <c r="L39" s="88">
        <v>211</v>
      </c>
      <c r="M39" s="5">
        <v>14216</v>
      </c>
      <c r="N39" s="88">
        <v>17</v>
      </c>
      <c r="O39" s="88" t="s">
        <v>545</v>
      </c>
      <c r="P39" s="5">
        <v>30667</v>
      </c>
    </row>
    <row r="40" spans="2:16">
      <c r="B40" s="578"/>
      <c r="C40" s="2">
        <v>2012</v>
      </c>
      <c r="D40" s="5">
        <v>12326</v>
      </c>
      <c r="E40" s="5">
        <v>2868</v>
      </c>
      <c r="F40" s="5">
        <v>15194</v>
      </c>
      <c r="G40" s="5">
        <v>2646</v>
      </c>
      <c r="H40" s="5">
        <v>10218</v>
      </c>
      <c r="I40" s="88">
        <v>287</v>
      </c>
      <c r="J40" s="88">
        <v>904</v>
      </c>
      <c r="K40" s="2"/>
      <c r="L40" s="88">
        <v>711</v>
      </c>
      <c r="M40" s="5">
        <v>14768</v>
      </c>
      <c r="N40" s="5">
        <v>1250</v>
      </c>
      <c r="O40" s="88" t="s">
        <v>545</v>
      </c>
      <c r="P40" s="5">
        <v>31211</v>
      </c>
    </row>
    <row r="41" spans="2:16">
      <c r="B41" s="578"/>
      <c r="C41" s="2">
        <v>2013</v>
      </c>
      <c r="D41" s="5">
        <v>12740</v>
      </c>
      <c r="E41" s="5">
        <v>3320</v>
      </c>
      <c r="F41" s="5">
        <v>16060</v>
      </c>
      <c r="G41" s="5">
        <v>4006</v>
      </c>
      <c r="H41" s="5">
        <v>9385</v>
      </c>
      <c r="I41" s="88">
        <v>57</v>
      </c>
      <c r="J41" s="5">
        <v>1655</v>
      </c>
      <c r="K41" s="2"/>
      <c r="L41" s="88">
        <v>164</v>
      </c>
      <c r="M41" s="5">
        <v>15266</v>
      </c>
      <c r="N41" s="88" t="s">
        <v>545</v>
      </c>
      <c r="O41" s="88" t="s">
        <v>545</v>
      </c>
      <c r="P41" s="5">
        <v>31326</v>
      </c>
    </row>
    <row r="42" spans="2:16">
      <c r="B42" s="578"/>
      <c r="C42" s="2">
        <v>2014</v>
      </c>
      <c r="D42" s="5">
        <v>13514</v>
      </c>
      <c r="E42" s="5">
        <v>2843</v>
      </c>
      <c r="F42" s="5">
        <v>16357</v>
      </c>
      <c r="G42" s="5">
        <v>2800</v>
      </c>
      <c r="H42" s="5">
        <v>10408</v>
      </c>
      <c r="I42" s="88">
        <v>348</v>
      </c>
      <c r="J42" s="5">
        <v>1698</v>
      </c>
      <c r="K42" s="2"/>
      <c r="L42" s="88">
        <v>220</v>
      </c>
      <c r="M42" s="5">
        <v>15474</v>
      </c>
      <c r="N42" s="88" t="s">
        <v>545</v>
      </c>
      <c r="O42" s="88" t="s">
        <v>545</v>
      </c>
      <c r="P42" s="5">
        <v>31830</v>
      </c>
    </row>
    <row r="43" spans="2:16">
      <c r="B43" s="578"/>
      <c r="C43" s="2">
        <v>2015</v>
      </c>
      <c r="D43" s="87">
        <v>13643</v>
      </c>
      <c r="E43" s="87">
        <v>1600</v>
      </c>
      <c r="F43" s="87">
        <v>15243</v>
      </c>
      <c r="G43" s="87">
        <v>3411</v>
      </c>
      <c r="H43" s="87">
        <v>9415</v>
      </c>
      <c r="I43" s="2">
        <v>409</v>
      </c>
      <c r="J43" s="87">
        <v>1441</v>
      </c>
      <c r="K43" s="2"/>
      <c r="L43" s="2">
        <v>300</v>
      </c>
      <c r="M43" s="89">
        <v>14976</v>
      </c>
      <c r="N43" s="2">
        <v>142</v>
      </c>
      <c r="O43" s="2" t="s">
        <v>545</v>
      </c>
      <c r="P43" s="87">
        <v>30361</v>
      </c>
    </row>
    <row r="44" spans="2:16">
      <c r="B44" s="578"/>
      <c r="C44" s="2">
        <v>2016</v>
      </c>
      <c r="D44" s="87">
        <v>11052</v>
      </c>
      <c r="E44" s="87">
        <v>4047</v>
      </c>
      <c r="F44" s="87">
        <v>15099</v>
      </c>
      <c r="G44" s="87">
        <v>3503</v>
      </c>
      <c r="H44" s="87">
        <v>9577</v>
      </c>
      <c r="I44" s="2">
        <v>191</v>
      </c>
      <c r="J44" s="87">
        <v>1624</v>
      </c>
      <c r="K44" s="2"/>
      <c r="L44" s="2">
        <v>114</v>
      </c>
      <c r="M44" s="89">
        <v>15009</v>
      </c>
      <c r="N44" s="2" t="s">
        <v>545</v>
      </c>
      <c r="O44" s="2" t="s">
        <v>545</v>
      </c>
      <c r="P44" s="87">
        <v>30107</v>
      </c>
    </row>
    <row r="45" spans="2:16">
      <c r="B45" s="578"/>
      <c r="C45" s="2">
        <v>2017</v>
      </c>
      <c r="D45" s="87">
        <v>13765</v>
      </c>
      <c r="E45" s="87">
        <v>2514</v>
      </c>
      <c r="F45" s="87">
        <v>16279</v>
      </c>
      <c r="G45" s="87">
        <v>3557</v>
      </c>
      <c r="H45" s="87">
        <v>9569</v>
      </c>
      <c r="I45" s="2">
        <v>279</v>
      </c>
      <c r="J45" s="87">
        <v>1362</v>
      </c>
      <c r="K45" s="2"/>
      <c r="L45" s="2">
        <v>244</v>
      </c>
      <c r="M45" s="89">
        <v>15011</v>
      </c>
      <c r="N45" s="2"/>
      <c r="O45" s="2"/>
      <c r="P45" s="87">
        <f>F45+M45</f>
        <v>31290</v>
      </c>
    </row>
    <row r="46" spans="2:16">
      <c r="B46" s="578"/>
      <c r="C46" s="2">
        <v>2018</v>
      </c>
      <c r="D46" s="87">
        <v>12535</v>
      </c>
      <c r="E46" s="87">
        <v>3599</v>
      </c>
      <c r="F46" s="87">
        <v>16134</v>
      </c>
      <c r="G46" s="87">
        <v>1839</v>
      </c>
      <c r="H46" s="87">
        <v>10240</v>
      </c>
      <c r="I46" s="2">
        <v>552</v>
      </c>
      <c r="J46" s="87">
        <v>2413</v>
      </c>
      <c r="K46" s="1"/>
      <c r="L46" s="2">
        <v>127</v>
      </c>
      <c r="M46" s="2">
        <v>15171</v>
      </c>
      <c r="N46" s="2"/>
      <c r="O46" s="2"/>
      <c r="P46" s="87">
        <f>F46+M46</f>
        <v>31305</v>
      </c>
    </row>
    <row r="47" spans="2:16">
      <c r="B47" s="27"/>
      <c r="C47" s="26"/>
      <c r="D47" s="28"/>
      <c r="E47" s="28"/>
      <c r="F47" s="28"/>
      <c r="G47" s="28"/>
      <c r="H47" s="28"/>
      <c r="I47" s="26"/>
      <c r="J47" s="28"/>
      <c r="K47" s="26"/>
      <c r="L47" s="26"/>
      <c r="M47" s="91"/>
      <c r="N47" s="26"/>
      <c r="O47" s="26"/>
      <c r="P47" s="28"/>
    </row>
    <row r="48" spans="2:16">
      <c r="B48" s="573" t="s">
        <v>546</v>
      </c>
      <c r="C48" s="573"/>
      <c r="D48" s="573"/>
      <c r="E48" s="84"/>
      <c r="F48" s="84"/>
      <c r="G48" s="84"/>
      <c r="H48" s="134" t="s">
        <v>547</v>
      </c>
      <c r="I48" s="134" t="s">
        <v>548</v>
      </c>
      <c r="J48" s="84"/>
      <c r="K48" s="84"/>
      <c r="L48" s="84"/>
      <c r="M48" s="84"/>
      <c r="N48" s="584" t="s">
        <v>549</v>
      </c>
    </row>
    <row r="49" spans="2:16" ht="35.25" customHeight="1">
      <c r="B49" s="84"/>
      <c r="C49" s="67"/>
      <c r="D49" s="99" t="s">
        <v>550</v>
      </c>
      <c r="E49" s="67"/>
      <c r="F49" s="67"/>
      <c r="G49" s="67"/>
      <c r="H49" s="99" t="s">
        <v>551</v>
      </c>
      <c r="I49" s="66" t="s">
        <v>552</v>
      </c>
      <c r="J49" s="67"/>
      <c r="K49" s="67"/>
      <c r="L49" s="67"/>
      <c r="M49" s="20"/>
      <c r="N49" s="585"/>
      <c r="O49" s="100"/>
      <c r="P49" s="101"/>
    </row>
    <row r="50" spans="2:16">
      <c r="B50" s="582" t="s">
        <v>530</v>
      </c>
      <c r="C50" s="2">
        <v>2005</v>
      </c>
      <c r="D50" s="6">
        <f t="shared" ref="D50:D63" si="0">D18+D33</f>
        <v>16094</v>
      </c>
      <c r="E50" s="1"/>
      <c r="F50" s="1"/>
      <c r="G50" s="1"/>
      <c r="H50" s="6">
        <f t="shared" ref="H50:H63" si="1">H18+H33</f>
        <v>32754</v>
      </c>
      <c r="I50" s="6">
        <f>C70</f>
        <v>63120</v>
      </c>
      <c r="J50" s="1"/>
      <c r="K50" s="1"/>
      <c r="L50" s="1"/>
      <c r="M50" s="2">
        <v>2005</v>
      </c>
      <c r="N50" s="3">
        <f>(I50-D50-H50)/I50*100</f>
        <v>22.610899873257289</v>
      </c>
      <c r="O50" s="1"/>
      <c r="P50" s="1"/>
    </row>
    <row r="51" spans="2:16">
      <c r="B51" s="582"/>
      <c r="C51" s="2">
        <v>2006</v>
      </c>
      <c r="D51" s="6">
        <f t="shared" si="0"/>
        <v>16963</v>
      </c>
      <c r="E51" s="1"/>
      <c r="F51" s="1"/>
      <c r="G51" s="1"/>
      <c r="H51" s="6">
        <f t="shared" si="1"/>
        <v>33084</v>
      </c>
      <c r="I51" s="6">
        <f>D70</f>
        <v>64049</v>
      </c>
      <c r="J51" s="1"/>
      <c r="K51" s="1"/>
      <c r="L51" s="1"/>
      <c r="M51" s="2">
        <v>2006</v>
      </c>
      <c r="N51" s="3">
        <f t="shared" ref="N51:N63" si="2">(I51-D51-H51)/I51*100</f>
        <v>21.861387375290793</v>
      </c>
      <c r="O51" s="1"/>
      <c r="P51" s="1"/>
    </row>
    <row r="52" spans="2:16">
      <c r="B52" s="582"/>
      <c r="C52" s="2">
        <v>2007</v>
      </c>
      <c r="D52" s="6">
        <f t="shared" si="0"/>
        <v>16710</v>
      </c>
      <c r="E52" s="1"/>
      <c r="F52" s="1"/>
      <c r="G52" s="1"/>
      <c r="H52" s="6">
        <f t="shared" si="1"/>
        <v>34781</v>
      </c>
      <c r="I52" s="6">
        <f>E70</f>
        <v>64728</v>
      </c>
      <c r="J52" s="1"/>
      <c r="K52" s="1"/>
      <c r="L52" s="1"/>
      <c r="M52" s="2">
        <v>2007</v>
      </c>
      <c r="N52" s="3">
        <f t="shared" si="2"/>
        <v>20.450191570881227</v>
      </c>
      <c r="O52" s="1"/>
      <c r="P52" s="1"/>
    </row>
    <row r="53" spans="2:16">
      <c r="B53" s="582"/>
      <c r="C53" s="2">
        <v>2008</v>
      </c>
      <c r="D53" s="6">
        <f t="shared" si="0"/>
        <v>17083</v>
      </c>
      <c r="E53" s="1"/>
      <c r="F53" s="1"/>
      <c r="G53" s="1"/>
      <c r="H53" s="6">
        <f t="shared" si="1"/>
        <v>34131</v>
      </c>
      <c r="I53" s="6">
        <f>F70</f>
        <v>64767</v>
      </c>
      <c r="J53" s="1"/>
      <c r="K53" s="1"/>
      <c r="L53" s="1"/>
      <c r="M53" s="2">
        <v>2008</v>
      </c>
      <c r="N53" s="3">
        <f t="shared" si="2"/>
        <v>20.925780104065343</v>
      </c>
      <c r="O53" s="1"/>
      <c r="P53" s="1"/>
    </row>
    <row r="54" spans="2:16">
      <c r="B54" s="582"/>
      <c r="C54" s="2">
        <v>2009</v>
      </c>
      <c r="D54" s="6">
        <f t="shared" si="0"/>
        <v>17309</v>
      </c>
      <c r="E54" s="1"/>
      <c r="F54" s="1"/>
      <c r="G54" s="1"/>
      <c r="H54" s="6">
        <f t="shared" si="1"/>
        <v>34928</v>
      </c>
      <c r="I54" s="6">
        <f>G70</f>
        <v>65415</v>
      </c>
      <c r="J54" s="1"/>
      <c r="K54" s="1"/>
      <c r="L54" s="1"/>
      <c r="M54" s="2">
        <v>2009</v>
      </c>
      <c r="N54" s="3">
        <f t="shared" si="2"/>
        <v>20.145226629977834</v>
      </c>
      <c r="O54" s="1"/>
      <c r="P54" s="1"/>
    </row>
    <row r="55" spans="2:16">
      <c r="B55" s="582"/>
      <c r="C55" s="2">
        <v>2010</v>
      </c>
      <c r="D55" s="6">
        <f t="shared" si="0"/>
        <v>19206</v>
      </c>
      <c r="E55" s="1"/>
      <c r="F55" s="1"/>
      <c r="G55" s="1"/>
      <c r="H55" s="6">
        <f t="shared" si="1"/>
        <v>35399</v>
      </c>
      <c r="I55" s="6">
        <f>H70</f>
        <v>66344</v>
      </c>
      <c r="J55" s="1"/>
      <c r="K55" s="1"/>
      <c r="L55" s="1"/>
      <c r="M55" s="2">
        <v>2010</v>
      </c>
      <c r="N55" s="3">
        <f t="shared" si="2"/>
        <v>17.694139635837452</v>
      </c>
      <c r="O55" s="1"/>
      <c r="P55" s="1"/>
    </row>
    <row r="56" spans="2:16">
      <c r="B56" s="582"/>
      <c r="C56" s="2">
        <v>2011</v>
      </c>
      <c r="D56" s="6">
        <f t="shared" si="0"/>
        <v>15685</v>
      </c>
      <c r="E56" s="1"/>
      <c r="F56" s="1"/>
      <c r="G56" s="1"/>
      <c r="H56" s="6">
        <f t="shared" si="1"/>
        <v>33230</v>
      </c>
      <c r="I56" s="6">
        <f>I70</f>
        <v>60043</v>
      </c>
      <c r="J56" s="1"/>
      <c r="K56" s="1"/>
      <c r="L56" s="1"/>
      <c r="M56" s="2">
        <v>2011</v>
      </c>
      <c r="N56" s="3">
        <f t="shared" si="2"/>
        <v>18.533384407841048</v>
      </c>
      <c r="O56" s="1"/>
      <c r="P56" s="1"/>
    </row>
    <row r="57" spans="2:16">
      <c r="B57" s="582"/>
      <c r="C57" s="2">
        <v>2012</v>
      </c>
      <c r="D57" s="6">
        <f t="shared" si="0"/>
        <v>15139</v>
      </c>
      <c r="E57" s="1"/>
      <c r="F57" s="1"/>
      <c r="G57" s="1"/>
      <c r="H57" s="6">
        <f t="shared" si="1"/>
        <v>33621</v>
      </c>
      <c r="I57" s="6">
        <f>J70</f>
        <v>61520</v>
      </c>
      <c r="J57" s="1"/>
      <c r="K57" s="1"/>
      <c r="L57" s="1"/>
      <c r="M57" s="2">
        <v>2012</v>
      </c>
      <c r="N57" s="3">
        <f t="shared" si="2"/>
        <v>20.741222366710012</v>
      </c>
      <c r="O57" s="1"/>
      <c r="P57" s="1"/>
    </row>
    <row r="58" spans="2:16">
      <c r="B58" s="582"/>
      <c r="C58" s="2">
        <v>2013</v>
      </c>
      <c r="D58" s="6">
        <f t="shared" si="0"/>
        <v>15269</v>
      </c>
      <c r="E58" s="1"/>
      <c r="F58" s="1"/>
      <c r="G58" s="1"/>
      <c r="H58" s="6">
        <f t="shared" si="1"/>
        <v>33203</v>
      </c>
      <c r="I58" s="6">
        <f>K70</f>
        <v>61422</v>
      </c>
      <c r="J58" s="1"/>
      <c r="K58" s="1"/>
      <c r="L58" s="1"/>
      <c r="M58" s="2">
        <v>2013</v>
      </c>
      <c r="N58" s="3">
        <f t="shared" si="2"/>
        <v>21.083650809156328</v>
      </c>
      <c r="O58" s="1"/>
      <c r="P58" s="1"/>
    </row>
    <row r="59" spans="2:16">
      <c r="B59" s="582"/>
      <c r="C59" s="2">
        <v>2014</v>
      </c>
      <c r="D59" s="6">
        <f t="shared" si="0"/>
        <v>16684</v>
      </c>
      <c r="E59" s="1"/>
      <c r="F59" s="1"/>
      <c r="G59" s="1"/>
      <c r="H59" s="6">
        <f t="shared" si="1"/>
        <v>33706</v>
      </c>
      <c r="I59" s="6">
        <f>L70</f>
        <v>62198</v>
      </c>
      <c r="J59" s="1"/>
      <c r="K59" s="1"/>
      <c r="L59" s="1"/>
      <c r="M59" s="2">
        <v>2014</v>
      </c>
      <c r="N59" s="3">
        <f t="shared" si="2"/>
        <v>18.984533264735202</v>
      </c>
      <c r="O59" s="1"/>
      <c r="P59" s="1"/>
    </row>
    <row r="60" spans="2:16">
      <c r="B60" s="582"/>
      <c r="C60" s="2">
        <v>2015</v>
      </c>
      <c r="D60" s="6">
        <f t="shared" si="0"/>
        <v>16812</v>
      </c>
      <c r="E60" s="1"/>
      <c r="F60" s="1"/>
      <c r="G60" s="1"/>
      <c r="H60" s="6">
        <f t="shared" si="1"/>
        <v>34081</v>
      </c>
      <c r="I60" s="6">
        <f>M70</f>
        <v>62384</v>
      </c>
      <c r="J60" s="1"/>
      <c r="K60" s="1"/>
      <c r="L60" s="1"/>
      <c r="M60" s="2">
        <v>2015</v>
      </c>
      <c r="N60" s="3">
        <f t="shared" si="2"/>
        <v>18.419787124903824</v>
      </c>
      <c r="O60" s="1"/>
      <c r="P60" s="1"/>
    </row>
    <row r="61" spans="2:16">
      <c r="B61" s="582"/>
      <c r="C61" s="2">
        <v>2016</v>
      </c>
      <c r="D61" s="6">
        <f t="shared" si="0"/>
        <v>13294</v>
      </c>
      <c r="E61" s="1"/>
      <c r="F61" s="1"/>
      <c r="G61" s="1"/>
      <c r="H61" s="6">
        <f t="shared" si="1"/>
        <v>36987</v>
      </c>
      <c r="I61" s="6">
        <f>N70</f>
        <v>64661</v>
      </c>
      <c r="J61" s="1"/>
      <c r="K61" s="1"/>
      <c r="L61" s="1"/>
      <c r="M61" s="2">
        <v>2016</v>
      </c>
      <c r="N61" s="3">
        <f t="shared" si="2"/>
        <v>22.239062185861648</v>
      </c>
      <c r="O61" s="1"/>
      <c r="P61" s="1"/>
    </row>
    <row r="62" spans="2:16">
      <c r="B62" s="582"/>
      <c r="C62" s="2">
        <v>2017</v>
      </c>
      <c r="D62" s="6">
        <f t="shared" si="0"/>
        <v>17001</v>
      </c>
      <c r="E62" s="1"/>
      <c r="F62" s="1"/>
      <c r="G62" s="1"/>
      <c r="H62" s="6">
        <f t="shared" si="1"/>
        <v>34785</v>
      </c>
      <c r="I62" s="6">
        <v>64196</v>
      </c>
      <c r="J62" s="1"/>
      <c r="K62" s="1"/>
      <c r="L62" s="1"/>
      <c r="M62" s="2">
        <v>2017</v>
      </c>
      <c r="N62" s="3">
        <f t="shared" si="2"/>
        <v>19.331422518536982</v>
      </c>
      <c r="O62" s="1"/>
      <c r="P62" s="1"/>
    </row>
    <row r="63" spans="2:16">
      <c r="B63" s="582"/>
      <c r="C63" s="2">
        <v>2018</v>
      </c>
      <c r="D63" s="6">
        <f t="shared" si="0"/>
        <v>15490</v>
      </c>
      <c r="E63" s="1"/>
      <c r="F63" s="1"/>
      <c r="G63" s="1"/>
      <c r="H63" s="6">
        <f t="shared" si="1"/>
        <v>33486</v>
      </c>
      <c r="I63" s="6">
        <v>61657</v>
      </c>
      <c r="J63" s="1"/>
      <c r="K63" s="1"/>
      <c r="L63" s="1"/>
      <c r="M63" s="2">
        <v>2018</v>
      </c>
      <c r="N63" s="3">
        <f t="shared" si="2"/>
        <v>20.567007801222896</v>
      </c>
      <c r="O63" s="1"/>
      <c r="P63" s="1"/>
    </row>
    <row r="64" spans="2:16">
      <c r="B64" s="586" t="s">
        <v>553</v>
      </c>
      <c r="C64" s="586"/>
      <c r="D64" s="586"/>
      <c r="E64" s="586"/>
      <c r="H64" s="25"/>
      <c r="I64" s="25"/>
      <c r="K64" s="25"/>
      <c r="L64" s="25"/>
    </row>
    <row r="66" spans="2:16">
      <c r="B66" s="571" t="s">
        <v>554</v>
      </c>
      <c r="C66" s="571"/>
      <c r="D66" s="571"/>
      <c r="E66" s="571"/>
      <c r="F66" s="571"/>
      <c r="G66" s="571"/>
      <c r="H66" s="571"/>
      <c r="I66" s="571"/>
      <c r="J66" s="571"/>
      <c r="K66" s="571"/>
      <c r="L66" s="571"/>
      <c r="M66" s="571"/>
      <c r="N66" s="571"/>
      <c r="O66" s="571"/>
      <c r="P66" s="571"/>
    </row>
    <row r="67" spans="2:16" ht="23.25" customHeight="1">
      <c r="B67" s="92" t="s">
        <v>448</v>
      </c>
      <c r="C67" s="125">
        <v>2005</v>
      </c>
      <c r="D67" s="125">
        <v>2006</v>
      </c>
      <c r="E67" s="125">
        <v>2007</v>
      </c>
      <c r="F67" s="125">
        <v>2008</v>
      </c>
      <c r="G67" s="125">
        <v>2009</v>
      </c>
      <c r="H67" s="125">
        <v>2010</v>
      </c>
      <c r="I67" s="125">
        <v>2011</v>
      </c>
      <c r="J67" s="125">
        <v>2012</v>
      </c>
      <c r="K67" s="125">
        <v>2013</v>
      </c>
      <c r="L67" s="125">
        <v>2014</v>
      </c>
      <c r="M67" s="125">
        <v>2015</v>
      </c>
      <c r="N67" s="125">
        <v>2016</v>
      </c>
      <c r="O67" s="125">
        <v>2017</v>
      </c>
      <c r="P67" s="125">
        <v>2018</v>
      </c>
    </row>
    <row r="68" spans="2:16">
      <c r="B68" s="95" t="s">
        <v>454</v>
      </c>
      <c r="C68" s="96">
        <v>32009</v>
      </c>
      <c r="D68" s="96">
        <v>32480</v>
      </c>
      <c r="E68" s="96">
        <v>32824</v>
      </c>
      <c r="F68" s="96">
        <v>32844</v>
      </c>
      <c r="G68" s="93">
        <v>33173</v>
      </c>
      <c r="H68" s="93">
        <v>33644</v>
      </c>
      <c r="I68" s="97">
        <v>29376</v>
      </c>
      <c r="J68" s="94">
        <v>30309</v>
      </c>
      <c r="K68" s="5">
        <v>30096</v>
      </c>
      <c r="L68" s="5">
        <v>30368</v>
      </c>
      <c r="M68" s="5">
        <v>32023</v>
      </c>
      <c r="N68" s="5">
        <v>34554</v>
      </c>
      <c r="O68" s="1"/>
      <c r="P68" s="1"/>
    </row>
    <row r="69" spans="2:16">
      <c r="B69" s="95" t="s">
        <v>455</v>
      </c>
      <c r="C69" s="96">
        <v>31111</v>
      </c>
      <c r="D69" s="96">
        <v>31569</v>
      </c>
      <c r="E69" s="96">
        <v>31904</v>
      </c>
      <c r="F69" s="96">
        <v>31923</v>
      </c>
      <c r="G69" s="93">
        <v>32242</v>
      </c>
      <c r="H69" s="93">
        <v>32700</v>
      </c>
      <c r="I69" s="97">
        <v>30667</v>
      </c>
      <c r="J69" s="94">
        <v>31211</v>
      </c>
      <c r="K69" s="5">
        <v>31326</v>
      </c>
      <c r="L69" s="5">
        <v>31830</v>
      </c>
      <c r="M69" s="5">
        <v>30361</v>
      </c>
      <c r="N69" s="5">
        <v>30107</v>
      </c>
      <c r="O69" s="1"/>
      <c r="P69" s="1"/>
    </row>
    <row r="70" spans="2:16">
      <c r="B70" s="65" t="s">
        <v>530</v>
      </c>
      <c r="C70" s="98">
        <f>SUM(C68:C69)</f>
        <v>63120</v>
      </c>
      <c r="D70" s="98">
        <f t="shared" ref="D70:N70" si="3">SUM(D68:D69)</f>
        <v>64049</v>
      </c>
      <c r="E70" s="98">
        <f t="shared" si="3"/>
        <v>64728</v>
      </c>
      <c r="F70" s="98">
        <f t="shared" si="3"/>
        <v>64767</v>
      </c>
      <c r="G70" s="98">
        <f t="shared" si="3"/>
        <v>65415</v>
      </c>
      <c r="H70" s="98">
        <f t="shared" si="3"/>
        <v>66344</v>
      </c>
      <c r="I70" s="98">
        <f t="shared" si="3"/>
        <v>60043</v>
      </c>
      <c r="J70" s="98">
        <f t="shared" si="3"/>
        <v>61520</v>
      </c>
      <c r="K70" s="98">
        <f t="shared" si="3"/>
        <v>61422</v>
      </c>
      <c r="L70" s="98">
        <f t="shared" si="3"/>
        <v>62198</v>
      </c>
      <c r="M70" s="98">
        <f t="shared" si="3"/>
        <v>62384</v>
      </c>
      <c r="N70" s="98">
        <f t="shared" si="3"/>
        <v>64661</v>
      </c>
      <c r="O70" s="1"/>
      <c r="P70" s="1"/>
    </row>
    <row r="71" spans="2:16">
      <c r="B71" s="583"/>
      <c r="C71" s="583"/>
      <c r="D71" s="583"/>
      <c r="E71" s="583"/>
      <c r="F71" s="583"/>
      <c r="G71" s="583"/>
      <c r="H71" s="583"/>
      <c r="I71" s="583"/>
      <c r="J71" s="583"/>
      <c r="K71" s="583"/>
      <c r="L71" s="583"/>
      <c r="M71" s="583"/>
      <c r="N71" s="583"/>
      <c r="O71" s="583"/>
      <c r="P71" s="583"/>
    </row>
  </sheetData>
  <mergeCells count="19">
    <mergeCell ref="B71:P71"/>
    <mergeCell ref="N48:N49"/>
    <mergeCell ref="B64:E64"/>
    <mergeCell ref="B5:H5"/>
    <mergeCell ref="B7:D7"/>
    <mergeCell ref="J7:L7"/>
    <mergeCell ref="B12:E12"/>
    <mergeCell ref="B2:M2"/>
    <mergeCell ref="B3:M3"/>
    <mergeCell ref="B14:F14"/>
    <mergeCell ref="B66:P66"/>
    <mergeCell ref="D16:E16"/>
    <mergeCell ref="B48:D48"/>
    <mergeCell ref="G16:L16"/>
    <mergeCell ref="B18:B31"/>
    <mergeCell ref="C32:P32"/>
    <mergeCell ref="B33:B46"/>
    <mergeCell ref="B50:B63"/>
    <mergeCell ref="G7:I7"/>
  </mergeCells>
  <pageMargins left="0.28999999999999998" right="0.19"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SDG 8 with score</vt:lpstr>
      <vt:lpstr>8.1.1</vt:lpstr>
      <vt:lpstr>8.2.1</vt:lpstr>
      <vt:lpstr>8.3.1</vt:lpstr>
      <vt:lpstr>8.4.1</vt:lpstr>
      <vt:lpstr>8.4.2</vt:lpstr>
      <vt:lpstr>8.5.1</vt:lpstr>
      <vt:lpstr>8.5.2</vt:lpstr>
      <vt:lpstr>8.6.1</vt:lpstr>
      <vt:lpstr>8.7.1</vt:lpstr>
      <vt:lpstr>8.8.1</vt:lpstr>
      <vt:lpstr>8.8.2</vt:lpstr>
      <vt:lpstr>8.9.1</vt:lpstr>
      <vt:lpstr>8.10.1</vt:lpstr>
      <vt:lpstr>8.10.2</vt:lpstr>
      <vt:lpstr>8.a.1</vt:lpstr>
      <vt:lpstr>8b1</vt:lpstr>
      <vt:lpstr>ILO Arbeidsverdragen</vt:lpstr>
      <vt:lpstr>ARbeidswetten</vt:lpstr>
      <vt:lpstr>'8.6.1'!Print_Area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anjali</dc:creator>
  <cp:keywords/>
  <dc:description/>
  <cp:lastModifiedBy>Naiema</cp:lastModifiedBy>
  <cp:revision/>
  <dcterms:created xsi:type="dcterms:W3CDTF">2019-04-08T11:42:06Z</dcterms:created>
  <dcterms:modified xsi:type="dcterms:W3CDTF">2025-06-02T19:31:10Z</dcterms:modified>
  <cp:category/>
  <cp:contentStatus/>
</cp:coreProperties>
</file>